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1340" windowHeight="6285" activeTab="0"/>
  </bookViews>
  <sheets>
    <sheet name="Arkusz2 (2)" sheetId="1" r:id="rId1"/>
    <sheet name="Arkusz2" sheetId="2" r:id="rId2"/>
    <sheet name="Arkusz3" sheetId="3" r:id="rId3"/>
  </sheets>
  <definedNames>
    <definedName name="_xlnm.Print_Area" localSheetId="0">'Arkusz2 (2)'!$A$1:$G$484</definedName>
  </definedNames>
  <calcPr fullCalcOnLoad="1"/>
</workbook>
</file>

<file path=xl/sharedStrings.xml><?xml version="1.0" encoding="utf-8"?>
<sst xmlns="http://schemas.openxmlformats.org/spreadsheetml/2006/main" count="905" uniqueCount="108">
  <si>
    <t>Dział</t>
  </si>
  <si>
    <t>rozdział</t>
  </si>
  <si>
    <t>Nazwa działu/ rozdziału</t>
  </si>
  <si>
    <t>Wskaźnik 5:4</t>
  </si>
  <si>
    <t>ROLNICTWO I ŁOWIECTWO</t>
  </si>
  <si>
    <t>Prace geodezyjno -urządzeniowe na potrzeby rolnictwa, w tym:</t>
  </si>
  <si>
    <t>Wydatki majątkowe</t>
  </si>
  <si>
    <t>Wydatki bieżące, w tym:</t>
  </si>
  <si>
    <t xml:space="preserve">     pozostałe wydatki</t>
  </si>
  <si>
    <t xml:space="preserve">     dotacje</t>
  </si>
  <si>
    <t xml:space="preserve">      pochodne od wynagr ($ 4110-4120)</t>
  </si>
  <si>
    <t>LEŚNICTWO</t>
  </si>
  <si>
    <t>Gospodarka leśna, w tym</t>
  </si>
  <si>
    <t>Nadzór nad gospodarką leśną</t>
  </si>
  <si>
    <t>TRANSPORT  I ŁĄCZNOŚĆ</t>
  </si>
  <si>
    <t>Drogi publiczne powiatowe, w tym:</t>
  </si>
  <si>
    <t>TURYSTYKA</t>
  </si>
  <si>
    <t>GOSPODARKA MIESZKANIOWA</t>
  </si>
  <si>
    <t>Gospodarka gruntami i nieruchomościami, w tym:</t>
  </si>
  <si>
    <t>Pozostała działalność, w tym:</t>
  </si>
  <si>
    <t>DZIAŁALNOŚĆ USŁUGOWA</t>
  </si>
  <si>
    <t>Prace geodezyjne i kartograficzne nieinwestycyjne, w tym:</t>
  </si>
  <si>
    <t>Opracowania geodezyjne i kartograficzne, w tym:</t>
  </si>
  <si>
    <t>Nadzór budowlany, w tym:</t>
  </si>
  <si>
    <t>ADMINISTRACJA PUBLICZNA</t>
  </si>
  <si>
    <t>Urzędy Wojewódzkie, w tym:</t>
  </si>
  <si>
    <t>Rady powiatów, w tym:</t>
  </si>
  <si>
    <t>Starostwa Powiatowe, w tym:</t>
  </si>
  <si>
    <t>Komisje poborowe, w tym:</t>
  </si>
  <si>
    <t>OBRONA NARODOWA</t>
  </si>
  <si>
    <t>Pozostałe wydatki obronne, w tym:</t>
  </si>
  <si>
    <t>BEZPIECZEŃSTWO PUBLICZNE I OCHRONA PRZECIWPOŻAROWA</t>
  </si>
  <si>
    <t>Komendy Powiatowe Policji, w tym:</t>
  </si>
  <si>
    <t>Komendy Powiatowe Państwowej Straży Pożarnej, w tym:</t>
  </si>
  <si>
    <t>OBSŁUGA DŁUGU PUBLICZNEGO</t>
  </si>
  <si>
    <t>Obsługa papierów wartościowych, kredytów i pozyczek jst</t>
  </si>
  <si>
    <t>Rozliczenia z tytułu poręczeń i gwarancji udzielonych przez SP lub jst, w tym:</t>
  </si>
  <si>
    <t>RÓŻNE ROZLICZENIA</t>
  </si>
  <si>
    <t>Rezerwy ogólne i celowe, w tym:</t>
  </si>
  <si>
    <t>OŚWIATA I WYCHOWANIE</t>
  </si>
  <si>
    <t>Szkoły podstawowe specjalne, w tym:</t>
  </si>
  <si>
    <t>Gimnazja specjalne, w tym:</t>
  </si>
  <si>
    <t>Licea ogólnokształcące, w tym:</t>
  </si>
  <si>
    <t>Licea profilowane, w tym:</t>
  </si>
  <si>
    <t>Szkoły zawodowe, w tym:</t>
  </si>
  <si>
    <t>Szkoły zawodowe specjalne, w tym:</t>
  </si>
  <si>
    <t>Ośrodki szkolenia, dokształcania i doskonalenia kadr, w tym:</t>
  </si>
  <si>
    <t>Biblioteki pedagogiczne, w tym:</t>
  </si>
  <si>
    <t>OCHRONA ZDROWIA</t>
  </si>
  <si>
    <t>Składki na ubezpieczenia zdrowotne oraz świadczenia dla osób nie objętych obowiązkiem ubezpiecz. zdrowotnego, w tym:</t>
  </si>
  <si>
    <t>POMOC SPOŁECZNA</t>
  </si>
  <si>
    <t>Placówki opiekuńczo-wychowawcze, w tym:</t>
  </si>
  <si>
    <t>Ośrodki wsparcia, w tym:</t>
  </si>
  <si>
    <t>Rodziny zastępcze, w tym:</t>
  </si>
  <si>
    <t>Powiatowe centra pomocy rodzinie, w tym:</t>
  </si>
  <si>
    <t>POZOSTAŁE ZADANIA W ZAKRESIE POLITYKI SPOŁECZNEJ</t>
  </si>
  <si>
    <t>Powiatowe urzędy pracy, w tym:</t>
  </si>
  <si>
    <t>EDUKACYJNA OPIEKA WYCHOWAWCZA</t>
  </si>
  <si>
    <t>Poradnie psychologiczno-pedagogiczne, w tym:</t>
  </si>
  <si>
    <t>Internaty i bursy szkolne, w tym:</t>
  </si>
  <si>
    <t>Kolonie i obozy, w tym:</t>
  </si>
  <si>
    <t>Biblioteki, w tym:</t>
  </si>
  <si>
    <t>Ochrona i konserwacja zabytków, w tym:</t>
  </si>
  <si>
    <t>KULTURA FIZYCZNA I SPORT</t>
  </si>
  <si>
    <t>Pozostała działalnośc, w tym:</t>
  </si>
  <si>
    <t>OGÓŁEM   DZIAŁY,  w tym:</t>
  </si>
  <si>
    <t>RAZEM DZIAŁ  801</t>
  </si>
  <si>
    <t>Zespoły ds orzekania o niepełnosprawności, w tym:</t>
  </si>
  <si>
    <t xml:space="preserve">     rezerwy</t>
  </si>
  <si>
    <t>Ośrodki Dokumentacji geodezyjnej i kartograficznej</t>
  </si>
  <si>
    <t>Promocja JST</t>
  </si>
  <si>
    <t>Zespoły obsługi ekonomicznej szkół</t>
  </si>
  <si>
    <t>Pomoc materialna dla uczniów</t>
  </si>
  <si>
    <t>poręczenia - z grupy -pozostałe wydatki</t>
  </si>
  <si>
    <t>obsługa długu -z grupy - pozostałe wydatki</t>
  </si>
  <si>
    <t>Pozostałe zadania w zakresie kultury</t>
  </si>
  <si>
    <t xml:space="preserve">    dotacje</t>
  </si>
  <si>
    <t xml:space="preserve">     rezerwy </t>
  </si>
  <si>
    <t>Młodzieżowe Ośrodki Wychowawcze</t>
  </si>
  <si>
    <t>Młodzieżowe Ośrodki Socjoterapii</t>
  </si>
  <si>
    <t>Dokształcanie</t>
  </si>
  <si>
    <t>Dokształcanie i doskonalenie nauczycieli</t>
  </si>
  <si>
    <t>Załącznik nr 2 do Uchwały Rady Powiatu Wołowskiego w sprawie budżetu powiatu na rok 2008</t>
  </si>
  <si>
    <t>Wydatki powiatu wołowskiego na 2008 r.</t>
  </si>
  <si>
    <t>Przewidywane wykonanie 2007</t>
  </si>
  <si>
    <t>Plan na 2008</t>
  </si>
  <si>
    <t>010</t>
  </si>
  <si>
    <t>01005</t>
  </si>
  <si>
    <t>02001</t>
  </si>
  <si>
    <t>020</t>
  </si>
  <si>
    <t>02002</t>
  </si>
  <si>
    <r>
      <t xml:space="preserve">     wynagrodzenia  (</t>
    </r>
    <r>
      <rPr>
        <sz val="9"/>
        <rFont val="Arial"/>
        <family val="0"/>
      </rPr>
      <t>§</t>
    </r>
    <r>
      <rPr>
        <sz val="9"/>
        <rFont val="Arial CE"/>
        <family val="2"/>
      </rPr>
      <t xml:space="preserve"> 4010-4100)</t>
    </r>
  </si>
  <si>
    <r>
      <t xml:space="preserve">      pochodne od wynagr (</t>
    </r>
    <r>
      <rPr>
        <sz val="9"/>
        <rFont val="Arial"/>
        <family val="0"/>
      </rPr>
      <t>§</t>
    </r>
    <r>
      <rPr>
        <sz val="9"/>
        <rFont val="Arial CE"/>
        <family val="2"/>
      </rPr>
      <t xml:space="preserve"> 4110-4120)</t>
    </r>
  </si>
  <si>
    <r>
      <t xml:space="preserve">     wynagrodzenia  (</t>
    </r>
    <r>
      <rPr>
        <b/>
        <sz val="9"/>
        <rFont val="Arial"/>
        <family val="0"/>
      </rPr>
      <t>§</t>
    </r>
    <r>
      <rPr>
        <b/>
        <sz val="9"/>
        <rFont val="Arial CE"/>
        <family val="2"/>
      </rPr>
      <t xml:space="preserve"> 4010-4100)</t>
    </r>
  </si>
  <si>
    <t>Komendy Główne Policji, w tym:</t>
  </si>
  <si>
    <t>Szpitale Ogólne w tym:</t>
  </si>
  <si>
    <t>KULTURA I OCHRONA DZIEDZICTWA NARODOWEGO</t>
  </si>
  <si>
    <t>Obrona cywilna</t>
  </si>
  <si>
    <t>Zwalczanie narkomanii</t>
  </si>
  <si>
    <t>Plan na 2009</t>
  </si>
  <si>
    <t>Przewidywane wykonanie 2008</t>
  </si>
  <si>
    <t>Wydatki powiatu wołowskiego na 2009 r.</t>
  </si>
  <si>
    <t>Drogi publiczne wojewódzkie, w tym:</t>
  </si>
  <si>
    <t>Gimnazja, w tym:</t>
  </si>
  <si>
    <t>Licea ogólnokształcące specjalne, w tym:</t>
  </si>
  <si>
    <t>Pomoc materialna dla uczniów, w tym:</t>
  </si>
  <si>
    <t>,</t>
  </si>
  <si>
    <r>
      <t>Załącznik nr 2</t>
    </r>
    <r>
      <rPr>
        <sz val="8"/>
        <rFont val="Arial CE"/>
        <family val="2"/>
      </rPr>
      <t xml:space="preserve"> do Uchwały Rady Powiatu Wołowskiego w sprawie budżetu powiatu na rok 2009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</si>
</sst>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2" xfId="0" applyNumberForma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6" xfId="0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3" xfId="0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49" fontId="2" fillId="0" borderId="2" xfId="0" applyNumberFormat="1" applyFont="1" applyFill="1" applyBorder="1" applyAlignment="1">
      <alignment/>
    </xf>
    <xf numFmtId="49" fontId="0" fillId="0" borderId="4" xfId="0" applyNumberForma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49" fontId="0" fillId="0" borderId="9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8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9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workbookViewId="0" topLeftCell="A412">
      <selection activeCell="J146" sqref="J146"/>
    </sheetView>
  </sheetViews>
  <sheetFormatPr defaultColWidth="9.00390625" defaultRowHeight="12.75"/>
  <cols>
    <col min="1" max="1" width="6.25390625" style="26" customWidth="1"/>
    <col min="2" max="2" width="7.625" style="26" customWidth="1"/>
    <col min="3" max="3" width="33.625" style="26" customWidth="1"/>
    <col min="4" max="4" width="13.625" style="7" customWidth="1"/>
    <col min="5" max="5" width="11.75390625" style="7" customWidth="1"/>
    <col min="6" max="6" width="12.875" style="32" customWidth="1"/>
    <col min="7" max="7" width="10.25390625" style="26" bestFit="1" customWidth="1"/>
    <col min="8" max="9" width="10.125" style="26" bestFit="1" customWidth="1"/>
    <col min="10" max="16384" width="9.125" style="26" customWidth="1"/>
  </cols>
  <sheetData>
    <row r="1" spans="5:6" ht="33.75" customHeight="1">
      <c r="E1" s="117" t="s">
        <v>107</v>
      </c>
      <c r="F1" s="118"/>
    </row>
    <row r="2" ht="12.75">
      <c r="E2" s="31"/>
    </row>
    <row r="3" spans="1:3" ht="12.75">
      <c r="A3" s="33"/>
      <c r="B3" s="33"/>
      <c r="C3" s="33" t="s">
        <v>101</v>
      </c>
    </row>
    <row r="4" ht="12.75">
      <c r="C4" s="33"/>
    </row>
    <row r="5" spans="1:6" ht="38.25">
      <c r="A5" s="34" t="s">
        <v>0</v>
      </c>
      <c r="B5" s="34" t="s">
        <v>1</v>
      </c>
      <c r="C5" s="34" t="s">
        <v>2</v>
      </c>
      <c r="D5" s="8" t="s">
        <v>100</v>
      </c>
      <c r="E5" s="35" t="s">
        <v>99</v>
      </c>
      <c r="F5" s="36" t="s">
        <v>3</v>
      </c>
    </row>
    <row r="6" spans="1:6" s="33" customFormat="1" ht="12.75">
      <c r="A6" s="37">
        <v>1</v>
      </c>
      <c r="B6" s="37">
        <v>2</v>
      </c>
      <c r="C6" s="37">
        <v>3</v>
      </c>
      <c r="D6" s="9">
        <v>4</v>
      </c>
      <c r="E6" s="9">
        <v>5</v>
      </c>
      <c r="F6" s="38">
        <v>6</v>
      </c>
    </row>
    <row r="7" spans="1:6" ht="12.75">
      <c r="A7" s="95" t="s">
        <v>86</v>
      </c>
      <c r="B7" s="39"/>
      <c r="C7" s="5" t="s">
        <v>4</v>
      </c>
      <c r="D7" s="10">
        <v>20524</v>
      </c>
      <c r="E7" s="10">
        <v>15000</v>
      </c>
      <c r="F7" s="25">
        <f>E7*100/D7</f>
        <v>73.0851685831222</v>
      </c>
    </row>
    <row r="8" spans="1:6" ht="25.5">
      <c r="A8" s="114"/>
      <c r="B8" s="92" t="s">
        <v>87</v>
      </c>
      <c r="C8" s="41" t="s">
        <v>5</v>
      </c>
      <c r="D8" s="10">
        <v>20524</v>
      </c>
      <c r="E8" s="10">
        <f>E10</f>
        <v>15000</v>
      </c>
      <c r="F8" s="25">
        <f>E8*100/D8</f>
        <v>73.0851685831222</v>
      </c>
    </row>
    <row r="9" spans="1:6" ht="12.75">
      <c r="A9" s="115"/>
      <c r="B9" s="114"/>
      <c r="C9" s="44" t="s">
        <v>6</v>
      </c>
      <c r="D9" s="11">
        <v>0</v>
      </c>
      <c r="E9" s="11">
        <v>0</v>
      </c>
      <c r="F9" s="45"/>
    </row>
    <row r="10" spans="1:6" ht="12.75">
      <c r="A10" s="115"/>
      <c r="B10" s="115"/>
      <c r="C10" s="44" t="s">
        <v>7</v>
      </c>
      <c r="D10" s="11">
        <f>SUM(D11:D14)</f>
        <v>20524</v>
      </c>
      <c r="E10" s="11">
        <v>15000</v>
      </c>
      <c r="F10" s="45">
        <f>E10*100/D10</f>
        <v>73.0851685831222</v>
      </c>
    </row>
    <row r="11" spans="1:6" ht="12.75">
      <c r="A11" s="115"/>
      <c r="B11" s="115"/>
      <c r="C11" s="47" t="s">
        <v>91</v>
      </c>
      <c r="D11" s="11"/>
      <c r="E11" s="11"/>
      <c r="F11" s="45"/>
    </row>
    <row r="12" spans="1:6" ht="12.75">
      <c r="A12" s="115"/>
      <c r="B12" s="115"/>
      <c r="C12" s="47" t="s">
        <v>92</v>
      </c>
      <c r="D12" s="11"/>
      <c r="E12" s="11"/>
      <c r="F12" s="45"/>
    </row>
    <row r="13" spans="1:6" ht="12.75">
      <c r="A13" s="115"/>
      <c r="B13" s="115"/>
      <c r="C13" s="48" t="s">
        <v>8</v>
      </c>
      <c r="D13" s="12">
        <v>15000</v>
      </c>
      <c r="E13" s="11">
        <v>15000</v>
      </c>
      <c r="F13" s="45">
        <f>E13*100/D13</f>
        <v>100</v>
      </c>
    </row>
    <row r="14" spans="1:6" ht="12.75">
      <c r="A14" s="116"/>
      <c r="B14" s="116"/>
      <c r="C14" s="6" t="s">
        <v>9</v>
      </c>
      <c r="D14" s="11">
        <v>5524</v>
      </c>
      <c r="E14" s="11">
        <v>0</v>
      </c>
      <c r="F14" s="25"/>
    </row>
    <row r="15" spans="1:6" ht="12.75">
      <c r="A15" s="95" t="s">
        <v>89</v>
      </c>
      <c r="B15" s="39"/>
      <c r="C15" s="2" t="s">
        <v>11</v>
      </c>
      <c r="D15" s="10">
        <f>D16+D23</f>
        <v>195000</v>
      </c>
      <c r="E15" s="10">
        <f>E16+E23</f>
        <v>205300</v>
      </c>
      <c r="F15" s="25">
        <f>E15*100/D15</f>
        <v>105.28205128205128</v>
      </c>
    </row>
    <row r="16" spans="1:6" ht="12.75">
      <c r="A16" s="114"/>
      <c r="B16" s="93" t="s">
        <v>88</v>
      </c>
      <c r="C16" s="2" t="s">
        <v>12</v>
      </c>
      <c r="D16" s="10">
        <v>186000</v>
      </c>
      <c r="E16" s="10">
        <f>E18</f>
        <v>195300</v>
      </c>
      <c r="F16" s="25">
        <f>E16*100/D16</f>
        <v>105</v>
      </c>
    </row>
    <row r="17" spans="1:6" ht="12.75">
      <c r="A17" s="115"/>
      <c r="B17" s="114"/>
      <c r="C17" s="49" t="s">
        <v>6</v>
      </c>
      <c r="D17" s="11"/>
      <c r="E17" s="11"/>
      <c r="F17" s="45"/>
    </row>
    <row r="18" spans="1:6" ht="12.75">
      <c r="A18" s="115"/>
      <c r="B18" s="115"/>
      <c r="C18" s="49" t="s">
        <v>7</v>
      </c>
      <c r="D18" s="12">
        <f>SUM(D19:D22)</f>
        <v>186000</v>
      </c>
      <c r="E18" s="11">
        <v>195300</v>
      </c>
      <c r="F18" s="45">
        <f>E18*100/D18</f>
        <v>105</v>
      </c>
    </row>
    <row r="19" spans="1:6" ht="12.75">
      <c r="A19" s="115"/>
      <c r="B19" s="115"/>
      <c r="C19" s="47" t="s">
        <v>91</v>
      </c>
      <c r="D19" s="11"/>
      <c r="E19" s="11"/>
      <c r="F19" s="45"/>
    </row>
    <row r="20" spans="1:6" ht="12.75">
      <c r="A20" s="115"/>
      <c r="B20" s="115"/>
      <c r="C20" s="47" t="s">
        <v>92</v>
      </c>
      <c r="D20" s="11"/>
      <c r="E20" s="11"/>
      <c r="F20" s="45"/>
    </row>
    <row r="21" spans="1:6" ht="12.75">
      <c r="A21" s="115"/>
      <c r="B21" s="115"/>
      <c r="C21" s="48" t="s">
        <v>8</v>
      </c>
      <c r="D21" s="12">
        <v>186000</v>
      </c>
      <c r="E21" s="11">
        <v>195300</v>
      </c>
      <c r="F21" s="45">
        <f>E21*100/D21</f>
        <v>105</v>
      </c>
    </row>
    <row r="22" spans="1:6" ht="12.75">
      <c r="A22" s="115"/>
      <c r="B22" s="116"/>
      <c r="C22" s="48" t="s">
        <v>9</v>
      </c>
      <c r="D22" s="11"/>
      <c r="E22" s="11"/>
      <c r="F22" s="25"/>
    </row>
    <row r="23" spans="1:6" ht="12.75">
      <c r="A23" s="115"/>
      <c r="B23" s="94" t="s">
        <v>90</v>
      </c>
      <c r="C23" s="1" t="s">
        <v>13</v>
      </c>
      <c r="D23" s="10">
        <v>9000</v>
      </c>
      <c r="E23" s="10">
        <f>E25</f>
        <v>10000</v>
      </c>
      <c r="F23" s="25">
        <f>E23*100/D23</f>
        <v>111.11111111111111</v>
      </c>
    </row>
    <row r="24" spans="1:6" ht="12.75">
      <c r="A24" s="115"/>
      <c r="B24" s="107"/>
      <c r="C24" s="52" t="s">
        <v>6</v>
      </c>
      <c r="D24" s="11"/>
      <c r="E24" s="11"/>
      <c r="F24" s="25"/>
    </row>
    <row r="25" spans="1:6" ht="12.75">
      <c r="A25" s="115"/>
      <c r="B25" s="108"/>
      <c r="C25" s="52" t="s">
        <v>7</v>
      </c>
      <c r="D25" s="12">
        <f>SUM(D26:D29)</f>
        <v>9000</v>
      </c>
      <c r="E25" s="11">
        <v>10000</v>
      </c>
      <c r="F25" s="45">
        <f>E25*100/D25</f>
        <v>111.11111111111111</v>
      </c>
    </row>
    <row r="26" spans="1:6" ht="12.75">
      <c r="A26" s="115"/>
      <c r="B26" s="108"/>
      <c r="C26" s="47" t="s">
        <v>91</v>
      </c>
      <c r="D26" s="11"/>
      <c r="E26" s="11"/>
      <c r="F26" s="45"/>
    </row>
    <row r="27" spans="1:6" ht="12.75">
      <c r="A27" s="115"/>
      <c r="B27" s="108"/>
      <c r="C27" s="47" t="s">
        <v>92</v>
      </c>
      <c r="D27" s="11"/>
      <c r="E27" s="11"/>
      <c r="F27" s="45"/>
    </row>
    <row r="28" spans="1:6" ht="12.75">
      <c r="A28" s="115"/>
      <c r="B28" s="108"/>
      <c r="C28" s="47" t="s">
        <v>8</v>
      </c>
      <c r="D28" s="12">
        <v>9000</v>
      </c>
      <c r="E28" s="11">
        <v>10000</v>
      </c>
      <c r="F28" s="45">
        <f>E28*100/D28</f>
        <v>111.11111111111111</v>
      </c>
    </row>
    <row r="29" spans="1:6" ht="12.75">
      <c r="A29" s="116"/>
      <c r="B29" s="109"/>
      <c r="C29" s="47" t="s">
        <v>9</v>
      </c>
      <c r="D29" s="11"/>
      <c r="E29" s="11"/>
      <c r="F29" s="25"/>
    </row>
    <row r="30" spans="1:6" ht="12.75">
      <c r="A30" s="5">
        <v>600</v>
      </c>
      <c r="B30" s="54"/>
      <c r="C30" s="3" t="s">
        <v>14</v>
      </c>
      <c r="D30" s="10">
        <f>D38+D31</f>
        <v>7779545</v>
      </c>
      <c r="E30" s="10">
        <f>E38+E31</f>
        <v>5424168</v>
      </c>
      <c r="F30" s="25">
        <f aca="true" t="shared" si="0" ref="F30:F43">E30*100/D30</f>
        <v>69.72346069082447</v>
      </c>
    </row>
    <row r="31" spans="1:6" ht="12.75">
      <c r="A31" s="107"/>
      <c r="B31" s="55">
        <v>60013</v>
      </c>
      <c r="C31" s="96" t="s">
        <v>102</v>
      </c>
      <c r="D31" s="27">
        <f>D32+D33</f>
        <v>1170345</v>
      </c>
      <c r="E31" s="27">
        <f>E32+E33</f>
        <v>1560460</v>
      </c>
      <c r="F31" s="25">
        <f t="shared" si="0"/>
        <v>133.33333333333334</v>
      </c>
    </row>
    <row r="32" spans="1:6" ht="12.75">
      <c r="A32" s="108"/>
      <c r="B32" s="107"/>
      <c r="C32" s="52" t="s">
        <v>6</v>
      </c>
      <c r="D32" s="98"/>
      <c r="E32" s="98"/>
      <c r="F32" s="45"/>
    </row>
    <row r="33" spans="1:6" ht="12.75">
      <c r="A33" s="108"/>
      <c r="B33" s="108"/>
      <c r="C33" s="52" t="s">
        <v>7</v>
      </c>
      <c r="D33" s="98">
        <f>D34+D35+D36+D37</f>
        <v>1170345</v>
      </c>
      <c r="E33" s="98">
        <f>E34+E35+E36+E37</f>
        <v>1560460</v>
      </c>
      <c r="F33" s="45">
        <f t="shared" si="0"/>
        <v>133.33333333333334</v>
      </c>
    </row>
    <row r="34" spans="1:6" ht="12.75">
      <c r="A34" s="108"/>
      <c r="B34" s="108"/>
      <c r="C34" s="47" t="s">
        <v>91</v>
      </c>
      <c r="D34" s="98">
        <f>47098</f>
        <v>47098</v>
      </c>
      <c r="E34" s="98">
        <v>62797</v>
      </c>
      <c r="F34" s="45">
        <f t="shared" si="0"/>
        <v>133.332625589197</v>
      </c>
    </row>
    <row r="35" spans="1:6" ht="12.75">
      <c r="A35" s="108"/>
      <c r="B35" s="108"/>
      <c r="C35" s="47" t="s">
        <v>92</v>
      </c>
      <c r="D35" s="98">
        <f>7479+1154</f>
        <v>8633</v>
      </c>
      <c r="E35" s="98">
        <v>11511</v>
      </c>
      <c r="F35" s="45">
        <f t="shared" si="0"/>
        <v>133.3371944862736</v>
      </c>
    </row>
    <row r="36" spans="1:6" ht="12.75">
      <c r="A36" s="108"/>
      <c r="B36" s="108"/>
      <c r="C36" s="47" t="s">
        <v>8</v>
      </c>
      <c r="D36" s="98">
        <f>114614+1000000</f>
        <v>1114614</v>
      </c>
      <c r="E36" s="98">
        <v>1486152</v>
      </c>
      <c r="F36" s="45">
        <f t="shared" si="0"/>
        <v>133.33333333333334</v>
      </c>
    </row>
    <row r="37" spans="1:6" ht="12.75">
      <c r="A37" s="108"/>
      <c r="B37" s="109"/>
      <c r="C37" s="56" t="s">
        <v>9</v>
      </c>
      <c r="D37" s="98"/>
      <c r="E37" s="98"/>
      <c r="F37" s="45"/>
    </row>
    <row r="38" spans="1:6" ht="12.75">
      <c r="A38" s="108"/>
      <c r="B38" s="5">
        <v>60014</v>
      </c>
      <c r="C38" s="2" t="s">
        <v>15</v>
      </c>
      <c r="D38" s="27">
        <f>D39+D40</f>
        <v>6609200</v>
      </c>
      <c r="E38" s="27">
        <f>E39+E40</f>
        <v>3863708</v>
      </c>
      <c r="F38" s="25">
        <f t="shared" si="0"/>
        <v>58.45954124553653</v>
      </c>
    </row>
    <row r="39" spans="1:6" ht="12.75">
      <c r="A39" s="108"/>
      <c r="B39" s="107"/>
      <c r="C39" s="52" t="s">
        <v>6</v>
      </c>
      <c r="D39" s="11">
        <v>4824300</v>
      </c>
      <c r="E39" s="11">
        <v>2210000</v>
      </c>
      <c r="F39" s="45">
        <f t="shared" si="0"/>
        <v>45.80975478307734</v>
      </c>
    </row>
    <row r="40" spans="1:6" ht="12.75">
      <c r="A40" s="108"/>
      <c r="B40" s="108"/>
      <c r="C40" s="52" t="s">
        <v>7</v>
      </c>
      <c r="D40" s="11">
        <f>SUM(D41:D44)</f>
        <v>1784900</v>
      </c>
      <c r="E40" s="11">
        <f>SUM(E41:E44)</f>
        <v>1653708</v>
      </c>
      <c r="F40" s="45">
        <f t="shared" si="0"/>
        <v>92.64989635273685</v>
      </c>
    </row>
    <row r="41" spans="1:6" ht="12.75">
      <c r="A41" s="108"/>
      <c r="B41" s="108"/>
      <c r="C41" s="47" t="s">
        <v>91</v>
      </c>
      <c r="D41" s="11">
        <f>546744+37756</f>
        <v>584500</v>
      </c>
      <c r="E41" s="11">
        <v>648288</v>
      </c>
      <c r="F41" s="45">
        <f t="shared" si="0"/>
        <v>110.91325919589393</v>
      </c>
    </row>
    <row r="42" spans="1:6" ht="12.75">
      <c r="A42" s="108"/>
      <c r="B42" s="108"/>
      <c r="C42" s="47" t="s">
        <v>92</v>
      </c>
      <c r="D42" s="11">
        <f>86600+13800</f>
        <v>100400</v>
      </c>
      <c r="E42" s="11">
        <v>105420</v>
      </c>
      <c r="F42" s="45">
        <f t="shared" si="0"/>
        <v>105</v>
      </c>
    </row>
    <row r="43" spans="1:6" ht="12.75">
      <c r="A43" s="108"/>
      <c r="B43" s="108"/>
      <c r="C43" s="47" t="s">
        <v>8</v>
      </c>
      <c r="D43" s="11">
        <f>8000+15000+115000+18000+550000+1500+341919+2000+3500+4000+1500+11000+19981+2600+600+2400+1000+2000</f>
        <v>1100000</v>
      </c>
      <c r="E43" s="11">
        <v>900000</v>
      </c>
      <c r="F43" s="45">
        <f t="shared" si="0"/>
        <v>81.81818181818181</v>
      </c>
    </row>
    <row r="44" spans="1:6" ht="12.75">
      <c r="A44" s="109"/>
      <c r="B44" s="109"/>
      <c r="C44" s="56" t="s">
        <v>9</v>
      </c>
      <c r="D44" s="13">
        <v>0</v>
      </c>
      <c r="E44" s="11"/>
      <c r="F44" s="25"/>
    </row>
    <row r="45" spans="1:6" ht="12.75">
      <c r="A45" s="57">
        <v>630</v>
      </c>
      <c r="B45" s="44"/>
      <c r="C45" s="2" t="s">
        <v>16</v>
      </c>
      <c r="D45" s="10">
        <v>2000</v>
      </c>
      <c r="E45" s="10">
        <v>2000</v>
      </c>
      <c r="F45" s="25">
        <f>E45*100/D45</f>
        <v>100</v>
      </c>
    </row>
    <row r="46" spans="1:6" ht="12.75">
      <c r="A46" s="107"/>
      <c r="B46" s="24">
        <v>63095</v>
      </c>
      <c r="C46" s="2" t="s">
        <v>19</v>
      </c>
      <c r="D46" s="10">
        <v>2000</v>
      </c>
      <c r="E46" s="10">
        <v>2000</v>
      </c>
      <c r="F46" s="25">
        <f>E46*100/D46</f>
        <v>100</v>
      </c>
    </row>
    <row r="47" spans="1:6" ht="12.75">
      <c r="A47" s="108"/>
      <c r="B47" s="110"/>
      <c r="C47" s="44" t="s">
        <v>6</v>
      </c>
      <c r="D47" s="11"/>
      <c r="E47" s="11"/>
      <c r="F47" s="25"/>
    </row>
    <row r="48" spans="1:6" ht="12.75">
      <c r="A48" s="108"/>
      <c r="B48" s="110"/>
      <c r="C48" s="44" t="s">
        <v>7</v>
      </c>
      <c r="D48" s="12">
        <f>SUM(D49:D52)</f>
        <v>2000</v>
      </c>
      <c r="E48" s="11">
        <v>2000</v>
      </c>
      <c r="F48" s="45">
        <f>E48*100/D48</f>
        <v>100</v>
      </c>
    </row>
    <row r="49" spans="1:6" ht="12.75">
      <c r="A49" s="108"/>
      <c r="B49" s="110"/>
      <c r="C49" s="6" t="s">
        <v>91</v>
      </c>
      <c r="D49" s="11"/>
      <c r="E49" s="11"/>
      <c r="F49" s="45"/>
    </row>
    <row r="50" spans="1:6" ht="12.75">
      <c r="A50" s="108"/>
      <c r="B50" s="110"/>
      <c r="C50" s="6" t="s">
        <v>92</v>
      </c>
      <c r="D50" s="11"/>
      <c r="E50" s="11"/>
      <c r="F50" s="45"/>
    </row>
    <row r="51" spans="1:6" ht="12.75">
      <c r="A51" s="108"/>
      <c r="B51" s="110"/>
      <c r="C51" s="6" t="s">
        <v>8</v>
      </c>
      <c r="D51" s="11"/>
      <c r="E51" s="11"/>
      <c r="F51" s="45"/>
    </row>
    <row r="52" spans="1:7" ht="12.75">
      <c r="A52" s="109"/>
      <c r="B52" s="110"/>
      <c r="C52" s="6" t="s">
        <v>9</v>
      </c>
      <c r="D52" s="11">
        <v>2000</v>
      </c>
      <c r="E52" s="11">
        <v>2000</v>
      </c>
      <c r="F52" s="45">
        <f>E52*100/D52</f>
        <v>100</v>
      </c>
      <c r="G52" s="105"/>
    </row>
    <row r="53" spans="1:6" ht="12.75">
      <c r="A53" s="57">
        <v>700</v>
      </c>
      <c r="B53" s="44"/>
      <c r="C53" s="5" t="s">
        <v>17</v>
      </c>
      <c r="D53" s="10">
        <f>D54</f>
        <v>125000</v>
      </c>
      <c r="E53" s="10">
        <f>E54</f>
        <v>70000</v>
      </c>
      <c r="F53" s="25"/>
    </row>
    <row r="54" spans="1:6" ht="25.5">
      <c r="A54" s="107"/>
      <c r="B54" s="5">
        <v>70005</v>
      </c>
      <c r="C54" s="59" t="s">
        <v>18</v>
      </c>
      <c r="D54" s="10">
        <f>D56</f>
        <v>125000</v>
      </c>
      <c r="E54" s="10">
        <f>E56</f>
        <v>70000</v>
      </c>
      <c r="F54" s="25">
        <f>E54*100/D54</f>
        <v>56</v>
      </c>
    </row>
    <row r="55" spans="1:6" ht="12.75">
      <c r="A55" s="108"/>
      <c r="B55" s="110"/>
      <c r="C55" s="44" t="s">
        <v>6</v>
      </c>
      <c r="D55" s="11"/>
      <c r="E55" s="11"/>
      <c r="F55" s="25"/>
    </row>
    <row r="56" spans="1:6" ht="12.75">
      <c r="A56" s="108"/>
      <c r="B56" s="110"/>
      <c r="C56" s="44" t="s">
        <v>7</v>
      </c>
      <c r="D56" s="12">
        <f>SUM(D57:D60)</f>
        <v>125000</v>
      </c>
      <c r="E56" s="11">
        <v>70000</v>
      </c>
      <c r="F56" s="45">
        <f>E56*100/D56</f>
        <v>56</v>
      </c>
    </row>
    <row r="57" spans="1:6" ht="12.75">
      <c r="A57" s="108"/>
      <c r="B57" s="110"/>
      <c r="C57" s="6" t="s">
        <v>91</v>
      </c>
      <c r="D57" s="11"/>
      <c r="E57" s="11"/>
      <c r="F57" s="45"/>
    </row>
    <row r="58" spans="1:6" ht="12.75">
      <c r="A58" s="108"/>
      <c r="B58" s="110"/>
      <c r="C58" s="6" t="s">
        <v>92</v>
      </c>
      <c r="D58" s="11"/>
      <c r="E58" s="11"/>
      <c r="F58" s="45"/>
    </row>
    <row r="59" spans="1:6" ht="12.75">
      <c r="A59" s="108"/>
      <c r="B59" s="110"/>
      <c r="C59" s="6" t="s">
        <v>8</v>
      </c>
      <c r="D59" s="12">
        <f>10000+500+114000+500</f>
        <v>125000</v>
      </c>
      <c r="E59" s="12">
        <v>70000</v>
      </c>
      <c r="F59" s="45">
        <f>E59*100/D59</f>
        <v>56</v>
      </c>
    </row>
    <row r="60" spans="1:6" ht="12.75">
      <c r="A60" s="109"/>
      <c r="B60" s="110"/>
      <c r="C60" s="6" t="s">
        <v>9</v>
      </c>
      <c r="D60" s="12"/>
      <c r="E60" s="12"/>
      <c r="F60" s="45"/>
    </row>
    <row r="61" spans="1:6" ht="14.25" customHeight="1">
      <c r="A61" s="5">
        <v>710</v>
      </c>
      <c r="B61" s="5"/>
      <c r="C61" s="2" t="s">
        <v>20</v>
      </c>
      <c r="D61" s="10">
        <f>D62+D69+D76+D83</f>
        <v>663892</v>
      </c>
      <c r="E61" s="10">
        <f>SUM(E62+E69+E76+E83)</f>
        <v>703265</v>
      </c>
      <c r="F61" s="25">
        <f>E61*100/D61</f>
        <v>105.93063329577703</v>
      </c>
    </row>
    <row r="62" spans="1:6" ht="25.5" customHeight="1">
      <c r="A62" s="113"/>
      <c r="B62" s="62">
        <v>71012</v>
      </c>
      <c r="C62" s="4" t="s">
        <v>69</v>
      </c>
      <c r="D62" s="10">
        <f>D64</f>
        <v>342700</v>
      </c>
      <c r="E62" s="10">
        <f>E64</f>
        <v>396115</v>
      </c>
      <c r="F62" s="25">
        <f>E62*100/D62</f>
        <v>115.58651882112635</v>
      </c>
    </row>
    <row r="63" spans="1:6" ht="13.5" customHeight="1">
      <c r="A63" s="111"/>
      <c r="B63" s="113"/>
      <c r="C63" s="64" t="s">
        <v>6</v>
      </c>
      <c r="D63" s="12">
        <v>0</v>
      </c>
      <c r="E63" s="12">
        <v>0</v>
      </c>
      <c r="F63" s="25"/>
    </row>
    <row r="64" spans="1:7" ht="13.5" customHeight="1">
      <c r="A64" s="111"/>
      <c r="B64" s="111"/>
      <c r="C64" s="64" t="s">
        <v>7</v>
      </c>
      <c r="D64" s="12">
        <f>SUM(D65:D68)</f>
        <v>342700</v>
      </c>
      <c r="E64" s="12">
        <f>E65+E66+E67</f>
        <v>396115</v>
      </c>
      <c r="F64" s="25">
        <f>E64*100/D64</f>
        <v>115.58651882112635</v>
      </c>
      <c r="G64" s="7"/>
    </row>
    <row r="65" spans="1:6" ht="13.5" customHeight="1">
      <c r="A65" s="111"/>
      <c r="B65" s="111"/>
      <c r="C65" s="47" t="s">
        <v>91</v>
      </c>
      <c r="D65" s="12">
        <f>263700+16334</f>
        <v>280034</v>
      </c>
      <c r="E65" s="12">
        <v>334415</v>
      </c>
      <c r="F65" s="25">
        <f>E65*100/D65</f>
        <v>119.41942764092931</v>
      </c>
    </row>
    <row r="66" spans="1:6" ht="13.5" customHeight="1">
      <c r="A66" s="111"/>
      <c r="B66" s="111"/>
      <c r="C66" s="47" t="s">
        <v>92</v>
      </c>
      <c r="D66" s="12">
        <f>46900+6800</f>
        <v>53700</v>
      </c>
      <c r="E66" s="12">
        <v>53700</v>
      </c>
      <c r="F66" s="25">
        <f>E66*100/D66</f>
        <v>100</v>
      </c>
    </row>
    <row r="67" spans="1:6" ht="13.5" customHeight="1">
      <c r="A67" s="111"/>
      <c r="B67" s="111"/>
      <c r="C67" s="66" t="s">
        <v>8</v>
      </c>
      <c r="D67" s="12">
        <f>966+8000</f>
        <v>8966</v>
      </c>
      <c r="E67" s="12">
        <v>8000</v>
      </c>
      <c r="F67" s="25">
        <f>E67*100/D67</f>
        <v>89.22596475574392</v>
      </c>
    </row>
    <row r="68" spans="1:6" ht="13.5" customHeight="1">
      <c r="A68" s="111"/>
      <c r="B68" s="112"/>
      <c r="C68" s="66" t="s">
        <v>9</v>
      </c>
      <c r="D68" s="12"/>
      <c r="E68" s="12"/>
      <c r="F68" s="25"/>
    </row>
    <row r="69" spans="1:6" ht="27" customHeight="1">
      <c r="A69" s="111"/>
      <c r="B69" s="55">
        <v>71013</v>
      </c>
      <c r="C69" s="59" t="s">
        <v>21</v>
      </c>
      <c r="D69" s="10">
        <f>D71</f>
        <v>25000</v>
      </c>
      <c r="E69" s="10">
        <f>E71</f>
        <v>25000</v>
      </c>
      <c r="F69" s="25">
        <f>E69*100/D69</f>
        <v>100</v>
      </c>
    </row>
    <row r="70" spans="1:6" ht="12.75">
      <c r="A70" s="111"/>
      <c r="B70" s="107"/>
      <c r="C70" s="44" t="s">
        <v>6</v>
      </c>
      <c r="D70" s="11"/>
      <c r="E70" s="11"/>
      <c r="F70" s="25"/>
    </row>
    <row r="71" spans="1:6" ht="12.75">
      <c r="A71" s="111"/>
      <c r="B71" s="108"/>
      <c r="C71" s="44" t="s">
        <v>7</v>
      </c>
      <c r="D71" s="11">
        <f>SUM(D72:D75)</f>
        <v>25000</v>
      </c>
      <c r="E71" s="11">
        <v>25000</v>
      </c>
      <c r="F71" s="25">
        <f>E71*100/D71</f>
        <v>100</v>
      </c>
    </row>
    <row r="72" spans="1:6" ht="13.5" customHeight="1">
      <c r="A72" s="111"/>
      <c r="B72" s="108"/>
      <c r="C72" s="47" t="s">
        <v>91</v>
      </c>
      <c r="D72" s="11"/>
      <c r="E72" s="11"/>
      <c r="F72" s="25"/>
    </row>
    <row r="73" spans="1:6" ht="12.75">
      <c r="A73" s="111"/>
      <c r="B73" s="108"/>
      <c r="C73" s="47" t="s">
        <v>92</v>
      </c>
      <c r="D73" s="11"/>
      <c r="E73" s="11"/>
      <c r="F73" s="25"/>
    </row>
    <row r="74" spans="1:6" ht="12.75">
      <c r="A74" s="111"/>
      <c r="B74" s="108"/>
      <c r="C74" s="6" t="s">
        <v>8</v>
      </c>
      <c r="D74" s="11">
        <f>25000</f>
        <v>25000</v>
      </c>
      <c r="E74" s="11">
        <v>25000</v>
      </c>
      <c r="F74" s="25">
        <f>E74*100/D74</f>
        <v>100</v>
      </c>
    </row>
    <row r="75" spans="1:6" ht="12.75">
      <c r="A75" s="111"/>
      <c r="B75" s="109"/>
      <c r="C75" s="6" t="s">
        <v>9</v>
      </c>
      <c r="D75" s="11"/>
      <c r="E75" s="11"/>
      <c r="F75" s="25"/>
    </row>
    <row r="76" spans="1:6" ht="25.5">
      <c r="A76" s="111"/>
      <c r="B76" s="24">
        <v>71014</v>
      </c>
      <c r="C76" s="59" t="s">
        <v>22</v>
      </c>
      <c r="D76" s="10">
        <f>D78</f>
        <v>10320</v>
      </c>
      <c r="E76" s="10">
        <f>E78</f>
        <v>10320</v>
      </c>
      <c r="F76" s="25">
        <f>E76*100/D76</f>
        <v>100</v>
      </c>
    </row>
    <row r="77" spans="1:6" ht="12.75">
      <c r="A77" s="111"/>
      <c r="B77" s="107"/>
      <c r="C77" s="44" t="s">
        <v>6</v>
      </c>
      <c r="D77" s="11"/>
      <c r="E77" s="11"/>
      <c r="F77" s="25"/>
    </row>
    <row r="78" spans="1:6" ht="12.75">
      <c r="A78" s="111"/>
      <c r="B78" s="108"/>
      <c r="C78" s="44" t="s">
        <v>7</v>
      </c>
      <c r="D78" s="11">
        <f>SUM(D79:D82)</f>
        <v>10320</v>
      </c>
      <c r="E78" s="11">
        <v>10320</v>
      </c>
      <c r="F78" s="45">
        <f>E78*100/D78</f>
        <v>100</v>
      </c>
    </row>
    <row r="79" spans="1:6" ht="12.75">
      <c r="A79" s="111"/>
      <c r="B79" s="108"/>
      <c r="C79" s="47" t="s">
        <v>91</v>
      </c>
      <c r="D79" s="11"/>
      <c r="E79" s="11"/>
      <c r="F79" s="45"/>
    </row>
    <row r="80" spans="1:6" ht="12.75">
      <c r="A80" s="111"/>
      <c r="B80" s="108"/>
      <c r="C80" s="47" t="s">
        <v>92</v>
      </c>
      <c r="D80" s="11"/>
      <c r="E80" s="11"/>
      <c r="F80" s="45"/>
    </row>
    <row r="81" spans="1:6" ht="12.75">
      <c r="A81" s="111"/>
      <c r="B81" s="108"/>
      <c r="C81" s="6" t="s">
        <v>8</v>
      </c>
      <c r="D81" s="11">
        <f>10320</f>
        <v>10320</v>
      </c>
      <c r="E81" s="11">
        <v>10320</v>
      </c>
      <c r="F81" s="45">
        <f>E81*100/D81</f>
        <v>100</v>
      </c>
    </row>
    <row r="82" spans="1:6" ht="12.75">
      <c r="A82" s="111"/>
      <c r="B82" s="109"/>
      <c r="C82" s="6" t="s">
        <v>9</v>
      </c>
      <c r="D82" s="11"/>
      <c r="E82" s="11"/>
      <c r="F82" s="25"/>
    </row>
    <row r="83" spans="1:6" ht="12.75">
      <c r="A83" s="111"/>
      <c r="B83" s="24">
        <v>71015</v>
      </c>
      <c r="C83" s="5" t="s">
        <v>23</v>
      </c>
      <c r="D83" s="10">
        <f>D84+D85</f>
        <v>285872</v>
      </c>
      <c r="E83" s="10">
        <f>E84+E85</f>
        <v>271830</v>
      </c>
      <c r="F83" s="25">
        <f aca="true" t="shared" si="1" ref="F83:F88">E83*100/D83</f>
        <v>95.08801141769743</v>
      </c>
    </row>
    <row r="84" spans="1:6" ht="12.75">
      <c r="A84" s="111"/>
      <c r="B84" s="107"/>
      <c r="C84" s="44" t="s">
        <v>6</v>
      </c>
      <c r="D84" s="11"/>
      <c r="E84" s="11"/>
      <c r="F84" s="25"/>
    </row>
    <row r="85" spans="1:6" ht="12.75">
      <c r="A85" s="111"/>
      <c r="B85" s="108"/>
      <c r="C85" s="44" t="s">
        <v>7</v>
      </c>
      <c r="D85" s="11">
        <f>SUM(D86:D89)</f>
        <v>285872</v>
      </c>
      <c r="E85" s="11">
        <f>E86+E87+E88</f>
        <v>271830</v>
      </c>
      <c r="F85" s="45">
        <f t="shared" si="1"/>
        <v>95.08801141769743</v>
      </c>
    </row>
    <row r="86" spans="1:6" ht="12.75">
      <c r="A86" s="111"/>
      <c r="B86" s="108"/>
      <c r="C86" s="47" t="s">
        <v>91</v>
      </c>
      <c r="D86" s="11">
        <f>68481+111710+15140</f>
        <v>195331</v>
      </c>
      <c r="E86" s="11">
        <v>194866</v>
      </c>
      <c r="F86" s="45">
        <f t="shared" si="1"/>
        <v>99.76194254880178</v>
      </c>
    </row>
    <row r="87" spans="1:6" ht="12.75">
      <c r="A87" s="111"/>
      <c r="B87" s="108"/>
      <c r="C87" s="47" t="s">
        <v>92</v>
      </c>
      <c r="D87" s="11">
        <f>34936+4785</f>
        <v>39721</v>
      </c>
      <c r="E87" s="11">
        <v>36069</v>
      </c>
      <c r="F87" s="45">
        <f t="shared" si="1"/>
        <v>90.80587094987538</v>
      </c>
    </row>
    <row r="88" spans="1:6" ht="12.75">
      <c r="A88" s="111"/>
      <c r="B88" s="108"/>
      <c r="C88" s="6" t="s">
        <v>8</v>
      </c>
      <c r="D88" s="11">
        <f>160+9000+300+8520+500+3000+6500+5560+440+4840+2000+2000+4000+4000</f>
        <v>50820</v>
      </c>
      <c r="E88" s="11">
        <v>40895</v>
      </c>
      <c r="F88" s="45">
        <f t="shared" si="1"/>
        <v>80.47028728846911</v>
      </c>
    </row>
    <row r="89" spans="1:6" ht="12.75">
      <c r="A89" s="112"/>
      <c r="B89" s="109"/>
      <c r="C89" s="6" t="s">
        <v>9</v>
      </c>
      <c r="D89" s="11"/>
      <c r="E89" s="11"/>
      <c r="F89" s="45"/>
    </row>
    <row r="90" spans="1:6" ht="18.75" customHeight="1">
      <c r="A90" s="65">
        <v>750</v>
      </c>
      <c r="B90" s="5"/>
      <c r="C90" s="5" t="s">
        <v>24</v>
      </c>
      <c r="D90" s="10">
        <f>D91+D98+D105+D112+D119</f>
        <v>3657263</v>
      </c>
      <c r="E90" s="10">
        <f>E91+E98+E105+E112+E119</f>
        <v>4264258</v>
      </c>
      <c r="F90" s="25">
        <f>E90*100/D90</f>
        <v>116.59697429471164</v>
      </c>
    </row>
    <row r="91" spans="1:6" ht="12.75">
      <c r="A91" s="99"/>
      <c r="B91" s="24">
        <v>75011</v>
      </c>
      <c r="C91" s="2" t="s">
        <v>25</v>
      </c>
      <c r="D91" s="10">
        <f>D93</f>
        <v>101563</v>
      </c>
      <c r="E91" s="10">
        <f>E93</f>
        <v>105358</v>
      </c>
      <c r="F91" s="25">
        <f>E91*100/D91</f>
        <v>103.73659698906097</v>
      </c>
    </row>
    <row r="92" spans="1:6" ht="12.75">
      <c r="A92" s="100"/>
      <c r="B92" s="107"/>
      <c r="C92" s="44" t="s">
        <v>6</v>
      </c>
      <c r="D92" s="11"/>
      <c r="E92" s="11"/>
      <c r="F92" s="25"/>
    </row>
    <row r="93" spans="1:6" ht="12.75">
      <c r="A93" s="100"/>
      <c r="B93" s="108"/>
      <c r="C93" s="44" t="s">
        <v>7</v>
      </c>
      <c r="D93" s="11">
        <f>SUM(D94:D97)</f>
        <v>101563</v>
      </c>
      <c r="E93" s="11">
        <f>E94+E95+E96</f>
        <v>105358</v>
      </c>
      <c r="F93" s="45">
        <f>E93*100/D93</f>
        <v>103.73659698906097</v>
      </c>
    </row>
    <row r="94" spans="1:6" ht="12.75">
      <c r="A94" s="100"/>
      <c r="B94" s="108"/>
      <c r="C94" s="47" t="s">
        <v>91</v>
      </c>
      <c r="D94" s="11">
        <f>72000+7000</f>
        <v>79000</v>
      </c>
      <c r="E94" s="11">
        <v>81000</v>
      </c>
      <c r="F94" s="45">
        <f>E94*100/D94</f>
        <v>102.53164556962025</v>
      </c>
    </row>
    <row r="95" spans="1:6" ht="12.75">
      <c r="A95" s="100"/>
      <c r="B95" s="108"/>
      <c r="C95" s="47" t="s">
        <v>92</v>
      </c>
      <c r="D95" s="11">
        <f>14070+1930</f>
        <v>16000</v>
      </c>
      <c r="E95" s="11">
        <v>17000</v>
      </c>
      <c r="F95" s="45">
        <f>E95*100/D95</f>
        <v>106.25</v>
      </c>
    </row>
    <row r="96" spans="1:6" ht="12.75">
      <c r="A96" s="100"/>
      <c r="B96" s="108"/>
      <c r="C96" s="6" t="s">
        <v>8</v>
      </c>
      <c r="D96" s="11">
        <f>6563</f>
        <v>6563</v>
      </c>
      <c r="E96" s="11">
        <v>7358</v>
      </c>
      <c r="F96" s="45">
        <f>E96*100/D96</f>
        <v>112.11336279140637</v>
      </c>
    </row>
    <row r="97" spans="1:6" ht="12.75">
      <c r="A97" s="100"/>
      <c r="B97" s="109"/>
      <c r="C97" s="6" t="s">
        <v>9</v>
      </c>
      <c r="D97" s="11"/>
      <c r="E97" s="11"/>
      <c r="F97" s="45"/>
    </row>
    <row r="98" spans="1:6" ht="12.75">
      <c r="A98" s="100"/>
      <c r="B98" s="24">
        <v>75019</v>
      </c>
      <c r="C98" s="5" t="s">
        <v>26</v>
      </c>
      <c r="D98" s="10">
        <f>D100</f>
        <v>174000</v>
      </c>
      <c r="E98" s="10">
        <f>E100</f>
        <v>200000</v>
      </c>
      <c r="F98" s="25">
        <f>E98*100/D98</f>
        <v>114.94252873563218</v>
      </c>
    </row>
    <row r="99" spans="1:6" ht="12.75">
      <c r="A99" s="100"/>
      <c r="B99" s="107"/>
      <c r="C99" s="54" t="s">
        <v>6</v>
      </c>
      <c r="D99" s="14"/>
      <c r="E99" s="11"/>
      <c r="F99" s="25"/>
    </row>
    <row r="100" spans="1:6" ht="12.75">
      <c r="A100" s="100"/>
      <c r="B100" s="108"/>
      <c r="C100" s="44" t="s">
        <v>7</v>
      </c>
      <c r="D100" s="11">
        <f>SUM(D101:D104)</f>
        <v>174000</v>
      </c>
      <c r="E100" s="11">
        <f>SUM(E101:E104)</f>
        <v>200000</v>
      </c>
      <c r="F100" s="45">
        <f>E100*100/D100</f>
        <v>114.94252873563218</v>
      </c>
    </row>
    <row r="101" spans="1:6" ht="12.75">
      <c r="A101" s="100"/>
      <c r="B101" s="108"/>
      <c r="C101" s="47" t="s">
        <v>91</v>
      </c>
      <c r="D101" s="11"/>
      <c r="E101" s="11"/>
      <c r="F101" s="25"/>
    </row>
    <row r="102" spans="1:6" ht="12.75">
      <c r="A102" s="100"/>
      <c r="B102" s="108"/>
      <c r="C102" s="47" t="s">
        <v>92</v>
      </c>
      <c r="D102" s="11"/>
      <c r="E102" s="11"/>
      <c r="F102" s="25"/>
    </row>
    <row r="103" spans="1:6" ht="12.75">
      <c r="A103" s="100"/>
      <c r="B103" s="108"/>
      <c r="C103" s="6" t="s">
        <v>8</v>
      </c>
      <c r="D103" s="11">
        <f>168800+1000+2200+1000+1000</f>
        <v>174000</v>
      </c>
      <c r="E103" s="11">
        <v>200000</v>
      </c>
      <c r="F103" s="25">
        <f>E103*100/D103</f>
        <v>114.94252873563218</v>
      </c>
    </row>
    <row r="104" spans="1:6" ht="12.75">
      <c r="A104" s="100"/>
      <c r="B104" s="109"/>
      <c r="C104" s="69" t="s">
        <v>9</v>
      </c>
      <c r="D104" s="13"/>
      <c r="E104" s="11"/>
      <c r="F104" s="25"/>
    </row>
    <row r="105" spans="1:6" ht="12.75">
      <c r="A105" s="100"/>
      <c r="B105" s="24">
        <v>75020</v>
      </c>
      <c r="C105" s="5" t="s">
        <v>27</v>
      </c>
      <c r="D105" s="10">
        <f>D106+D107</f>
        <v>3291700</v>
      </c>
      <c r="E105" s="10">
        <f>E106+E107</f>
        <v>3862900</v>
      </c>
      <c r="F105" s="25">
        <f aca="true" t="shared" si="2" ref="F105:F110">E105*100/D105</f>
        <v>117.35273566849956</v>
      </c>
    </row>
    <row r="106" spans="1:6" ht="12.75">
      <c r="A106" s="100"/>
      <c r="B106" s="110"/>
      <c r="C106" s="44" t="s">
        <v>6</v>
      </c>
      <c r="D106" s="11"/>
      <c r="E106" s="11"/>
      <c r="F106" s="45"/>
    </row>
    <row r="107" spans="1:6" ht="12.75">
      <c r="A107" s="100"/>
      <c r="B107" s="110"/>
      <c r="C107" s="44" t="s">
        <v>7</v>
      </c>
      <c r="D107" s="11">
        <f>SUM(D108:D111)</f>
        <v>3291700</v>
      </c>
      <c r="E107" s="11">
        <f>E108+E109+E110</f>
        <v>3862900</v>
      </c>
      <c r="F107" s="45">
        <f t="shared" si="2"/>
        <v>117.35273566849956</v>
      </c>
    </row>
    <row r="108" spans="1:6" ht="12.75">
      <c r="A108" s="100"/>
      <c r="B108" s="110"/>
      <c r="C108" s="6" t="s">
        <v>91</v>
      </c>
      <c r="D108" s="11">
        <f>1525000+138000</f>
        <v>1663000</v>
      </c>
      <c r="E108" s="11">
        <v>1987900</v>
      </c>
      <c r="F108" s="45">
        <f t="shared" si="2"/>
        <v>119.53698135898978</v>
      </c>
    </row>
    <row r="109" spans="1:6" ht="12.75">
      <c r="A109" s="100"/>
      <c r="B109" s="110"/>
      <c r="C109" s="6" t="s">
        <v>92</v>
      </c>
      <c r="D109" s="11">
        <f>279500+41000</f>
        <v>320500</v>
      </c>
      <c r="E109" s="11">
        <v>350000</v>
      </c>
      <c r="F109" s="45">
        <f t="shared" si="2"/>
        <v>109.204368174727</v>
      </c>
    </row>
    <row r="110" spans="1:6" ht="12.75">
      <c r="A110" s="100"/>
      <c r="B110" s="110"/>
      <c r="C110" s="6" t="s">
        <v>8</v>
      </c>
      <c r="D110" s="11">
        <f>2500+500+27000+20000+280000+50000+20000+4500+687700+16000+25000+20000+1500+13000+45000+2500+20000+8000+65000</f>
        <v>1308200</v>
      </c>
      <c r="E110" s="11">
        <v>1525000</v>
      </c>
      <c r="F110" s="45">
        <f t="shared" si="2"/>
        <v>116.57238954288336</v>
      </c>
    </row>
    <row r="111" spans="1:7" ht="12.75">
      <c r="A111" s="100"/>
      <c r="B111" s="110"/>
      <c r="C111" s="6" t="s">
        <v>9</v>
      </c>
      <c r="D111" s="11"/>
      <c r="E111" s="11"/>
      <c r="F111" s="45"/>
      <c r="G111" s="105"/>
    </row>
    <row r="112" spans="1:6" ht="12.75">
      <c r="A112" s="99"/>
      <c r="B112" s="5">
        <v>75045</v>
      </c>
      <c r="C112" s="5" t="s">
        <v>28</v>
      </c>
      <c r="D112" s="10">
        <f>D114</f>
        <v>21000</v>
      </c>
      <c r="E112" s="10">
        <f>E114</f>
        <v>27000</v>
      </c>
      <c r="F112" s="25">
        <f>E112*100/D112</f>
        <v>128.57142857142858</v>
      </c>
    </row>
    <row r="113" spans="1:6" ht="12.75">
      <c r="A113" s="100"/>
      <c r="B113" s="110"/>
      <c r="C113" s="44" t="s">
        <v>6</v>
      </c>
      <c r="D113" s="11"/>
      <c r="E113" s="11"/>
      <c r="F113" s="25"/>
    </row>
    <row r="114" spans="1:6" ht="12.75">
      <c r="A114" s="100"/>
      <c r="B114" s="110"/>
      <c r="C114" s="44" t="s">
        <v>7</v>
      </c>
      <c r="D114" s="15">
        <f>SUM(D115:D118)</f>
        <v>21000</v>
      </c>
      <c r="E114" s="15">
        <f>E115+E116+E117</f>
        <v>27000</v>
      </c>
      <c r="F114" s="45">
        <f>E114*100/D114</f>
        <v>128.57142857142858</v>
      </c>
    </row>
    <row r="115" spans="1:6" ht="12.75">
      <c r="A115" s="100"/>
      <c r="B115" s="110"/>
      <c r="C115" s="6" t="s">
        <v>91</v>
      </c>
      <c r="D115" s="11">
        <f>5804</f>
        <v>5804</v>
      </c>
      <c r="E115" s="11">
        <v>10000</v>
      </c>
      <c r="F115" s="45">
        <f>E115*100/D115</f>
        <v>172.2949689869056</v>
      </c>
    </row>
    <row r="116" spans="1:6" ht="12.75">
      <c r="A116" s="100"/>
      <c r="B116" s="110"/>
      <c r="C116" s="6" t="s">
        <v>92</v>
      </c>
      <c r="D116" s="11">
        <f>1430+13</f>
        <v>1443</v>
      </c>
      <c r="E116" s="11">
        <v>1800</v>
      </c>
      <c r="F116" s="45">
        <f>E116*100/D116</f>
        <v>124.74012474012474</v>
      </c>
    </row>
    <row r="117" spans="1:6" ht="12.75">
      <c r="A117" s="100"/>
      <c r="B117" s="110"/>
      <c r="C117" s="6" t="s">
        <v>8</v>
      </c>
      <c r="D117" s="11">
        <f>7420+5738+274+120+201</f>
        <v>13753</v>
      </c>
      <c r="E117" s="11">
        <v>15200</v>
      </c>
      <c r="F117" s="45">
        <f>E117*100/D117</f>
        <v>110.52134079837127</v>
      </c>
    </row>
    <row r="118" spans="1:6" ht="12.75">
      <c r="A118" s="100"/>
      <c r="B118" s="110"/>
      <c r="C118" s="6" t="s">
        <v>9</v>
      </c>
      <c r="D118" s="11"/>
      <c r="E118" s="11"/>
      <c r="F118" s="45"/>
    </row>
    <row r="119" spans="1:6" ht="12.75">
      <c r="A119" s="100"/>
      <c r="B119" s="62">
        <v>75075</v>
      </c>
      <c r="C119" s="5" t="s">
        <v>70</v>
      </c>
      <c r="D119" s="10">
        <f>D121</f>
        <v>69000</v>
      </c>
      <c r="E119" s="10">
        <f>E121</f>
        <v>69000</v>
      </c>
      <c r="F119" s="45">
        <f>E119*100/D119</f>
        <v>100</v>
      </c>
    </row>
    <row r="120" spans="1:6" ht="12.75">
      <c r="A120" s="100"/>
      <c r="B120" s="107"/>
      <c r="C120" s="44" t="s">
        <v>6</v>
      </c>
      <c r="D120" s="11"/>
      <c r="E120" s="11"/>
      <c r="F120" s="45"/>
    </row>
    <row r="121" spans="1:6" ht="12.75">
      <c r="A121" s="100"/>
      <c r="B121" s="108"/>
      <c r="C121" s="44" t="s">
        <v>7</v>
      </c>
      <c r="D121" s="11">
        <f>SUM(D122:D125)</f>
        <v>69000</v>
      </c>
      <c r="E121" s="11">
        <v>69000</v>
      </c>
      <c r="F121" s="45">
        <f>E121*100/D121</f>
        <v>100</v>
      </c>
    </row>
    <row r="122" spans="1:6" ht="12.75">
      <c r="A122" s="100"/>
      <c r="B122" s="108"/>
      <c r="C122" s="47" t="s">
        <v>91</v>
      </c>
      <c r="D122" s="11"/>
      <c r="E122" s="11"/>
      <c r="F122" s="45"/>
    </row>
    <row r="123" spans="1:6" ht="12.75">
      <c r="A123" s="100"/>
      <c r="B123" s="108"/>
      <c r="C123" s="47" t="s">
        <v>92</v>
      </c>
      <c r="D123" s="11"/>
      <c r="E123" s="11"/>
      <c r="F123" s="45"/>
    </row>
    <row r="124" spans="1:6" ht="12.75">
      <c r="A124" s="100"/>
      <c r="B124" s="108"/>
      <c r="C124" s="6" t="s">
        <v>8</v>
      </c>
      <c r="D124" s="11">
        <f>15000+14000+40000</f>
        <v>69000</v>
      </c>
      <c r="E124" s="11">
        <v>69000</v>
      </c>
      <c r="F124" s="45">
        <f>E124*100/D124</f>
        <v>100</v>
      </c>
    </row>
    <row r="125" spans="1:6" ht="12.75">
      <c r="A125" s="101"/>
      <c r="B125" s="109"/>
      <c r="C125" s="6" t="s">
        <v>9</v>
      </c>
      <c r="D125" s="11"/>
      <c r="E125" s="11"/>
      <c r="F125" s="45"/>
    </row>
    <row r="126" spans="1:6" ht="12.75">
      <c r="A126" s="5">
        <v>752</v>
      </c>
      <c r="B126" s="5"/>
      <c r="C126" s="2" t="s">
        <v>29</v>
      </c>
      <c r="D126" s="10">
        <v>3000</v>
      </c>
      <c r="E126" s="10">
        <v>3000</v>
      </c>
      <c r="F126" s="25">
        <f>E126*100/D126</f>
        <v>100</v>
      </c>
    </row>
    <row r="127" spans="1:6" ht="12.75">
      <c r="A127" s="107"/>
      <c r="B127" s="5">
        <v>75212</v>
      </c>
      <c r="C127" s="5" t="s">
        <v>30</v>
      </c>
      <c r="D127" s="10">
        <v>3000</v>
      </c>
      <c r="E127" s="10">
        <v>3000</v>
      </c>
      <c r="F127" s="25">
        <f>E127*100/D127</f>
        <v>100</v>
      </c>
    </row>
    <row r="128" spans="1:6" ht="12.75">
      <c r="A128" s="108"/>
      <c r="B128" s="107"/>
      <c r="C128" s="54" t="s">
        <v>6</v>
      </c>
      <c r="D128" s="14"/>
      <c r="E128" s="11"/>
      <c r="F128" s="25"/>
    </row>
    <row r="129" spans="1:6" ht="12.75">
      <c r="A129" s="108"/>
      <c r="B129" s="108"/>
      <c r="C129" s="44" t="s">
        <v>7</v>
      </c>
      <c r="D129" s="11">
        <f>SUM(D130:D133)</f>
        <v>3000</v>
      </c>
      <c r="E129" s="11">
        <v>3000</v>
      </c>
      <c r="F129" s="45">
        <f>E129*100/D129</f>
        <v>100</v>
      </c>
    </row>
    <row r="130" spans="1:6" ht="12.75">
      <c r="A130" s="108"/>
      <c r="B130" s="108"/>
      <c r="C130" s="47" t="s">
        <v>91</v>
      </c>
      <c r="D130" s="11"/>
      <c r="E130" s="11"/>
      <c r="F130" s="45"/>
    </row>
    <row r="131" spans="1:6" ht="12.75">
      <c r="A131" s="108"/>
      <c r="B131" s="108"/>
      <c r="C131" s="47" t="s">
        <v>92</v>
      </c>
      <c r="D131" s="11"/>
      <c r="E131" s="11"/>
      <c r="F131" s="45"/>
    </row>
    <row r="132" spans="1:6" ht="12.75">
      <c r="A132" s="108"/>
      <c r="B132" s="108"/>
      <c r="C132" s="6" t="s">
        <v>8</v>
      </c>
      <c r="D132" s="11">
        <f>1500+1500</f>
        <v>3000</v>
      </c>
      <c r="E132" s="11">
        <v>3000</v>
      </c>
      <c r="F132" s="45">
        <f>E132*100/D132</f>
        <v>100</v>
      </c>
    </row>
    <row r="133" spans="1:6" ht="12.75">
      <c r="A133" s="109"/>
      <c r="B133" s="109"/>
      <c r="C133" s="6" t="s">
        <v>9</v>
      </c>
      <c r="D133" s="11"/>
      <c r="E133" s="11"/>
      <c r="F133" s="45"/>
    </row>
    <row r="134" spans="1:6" ht="24">
      <c r="A134" s="5">
        <v>754</v>
      </c>
      <c r="B134" s="70"/>
      <c r="C134" s="4" t="s">
        <v>31</v>
      </c>
      <c r="D134" s="10">
        <f>D135+D142+D149</f>
        <v>2834543</v>
      </c>
      <c r="E134" s="10">
        <f>E135+E142+E149</f>
        <v>4112652</v>
      </c>
      <c r="F134" s="10">
        <f>F135+F142</f>
        <v>244.88577931561852</v>
      </c>
    </row>
    <row r="135" spans="1:6" ht="12.75">
      <c r="A135" s="111"/>
      <c r="B135" s="24">
        <v>75405</v>
      </c>
      <c r="C135" s="2" t="s">
        <v>32</v>
      </c>
      <c r="D135" s="10">
        <v>1000</v>
      </c>
      <c r="E135" s="10">
        <v>1000</v>
      </c>
      <c r="F135" s="25">
        <f>E135*100/D135</f>
        <v>100</v>
      </c>
    </row>
    <row r="136" spans="1:6" ht="12.75">
      <c r="A136" s="111"/>
      <c r="B136" s="107"/>
      <c r="C136" s="44" t="s">
        <v>6</v>
      </c>
      <c r="D136" s="11"/>
      <c r="E136" s="11"/>
      <c r="F136" s="25"/>
    </row>
    <row r="137" spans="1:6" ht="12.75">
      <c r="A137" s="111"/>
      <c r="B137" s="108"/>
      <c r="C137" s="44" t="s">
        <v>7</v>
      </c>
      <c r="D137" s="11">
        <f>SUM(D138:D141)</f>
        <v>1000</v>
      </c>
      <c r="E137" s="11">
        <v>1000</v>
      </c>
      <c r="F137" s="45">
        <f>E137*100/D137</f>
        <v>100</v>
      </c>
    </row>
    <row r="138" spans="1:6" ht="12.75">
      <c r="A138" s="111"/>
      <c r="B138" s="108"/>
      <c r="C138" s="47" t="s">
        <v>91</v>
      </c>
      <c r="D138" s="11"/>
      <c r="E138" s="11"/>
      <c r="F138" s="45"/>
    </row>
    <row r="139" spans="1:6" ht="12.75">
      <c r="A139" s="111"/>
      <c r="B139" s="108"/>
      <c r="C139" s="47" t="s">
        <v>92</v>
      </c>
      <c r="D139" s="11"/>
      <c r="E139" s="11"/>
      <c r="F139" s="45"/>
    </row>
    <row r="140" spans="1:6" ht="12.75">
      <c r="A140" s="111"/>
      <c r="B140" s="108"/>
      <c r="C140" s="6" t="s">
        <v>8</v>
      </c>
      <c r="D140" s="11">
        <v>1000</v>
      </c>
      <c r="E140" s="11">
        <v>1000</v>
      </c>
      <c r="F140" s="45">
        <v>100</v>
      </c>
    </row>
    <row r="141" spans="1:6" ht="12.75">
      <c r="A141" s="111"/>
      <c r="B141" s="109"/>
      <c r="C141" s="6" t="s">
        <v>9</v>
      </c>
      <c r="D141" s="11"/>
      <c r="E141" s="11"/>
      <c r="F141" s="45"/>
    </row>
    <row r="142" spans="1:6" ht="25.5">
      <c r="A142" s="111"/>
      <c r="B142" s="24">
        <v>75411</v>
      </c>
      <c r="C142" s="59" t="s">
        <v>33</v>
      </c>
      <c r="D142" s="10">
        <f>D144+D143</f>
        <v>2832543</v>
      </c>
      <c r="E142" s="10">
        <f>E144+E143</f>
        <v>4103952</v>
      </c>
      <c r="F142" s="25">
        <f>E142*100/D142</f>
        <v>144.88577931561852</v>
      </c>
    </row>
    <row r="143" spans="1:6" ht="12.75">
      <c r="A143" s="111"/>
      <c r="B143" s="107"/>
      <c r="C143" s="44" t="s">
        <v>6</v>
      </c>
      <c r="D143" s="11"/>
      <c r="E143" s="11">
        <v>950000</v>
      </c>
      <c r="F143" s="45"/>
    </row>
    <row r="144" spans="1:6" ht="12.75">
      <c r="A144" s="111"/>
      <c r="B144" s="108"/>
      <c r="C144" s="44" t="s">
        <v>7</v>
      </c>
      <c r="D144" s="11">
        <f>SUM(D145:D148)</f>
        <v>2832543</v>
      </c>
      <c r="E144" s="11">
        <f>E145+E146+E147</f>
        <v>3153952</v>
      </c>
      <c r="F144" s="45">
        <f>E144*100/D144</f>
        <v>111.34701220775818</v>
      </c>
    </row>
    <row r="145" spans="1:6" ht="12.75">
      <c r="A145" s="111"/>
      <c r="B145" s="108"/>
      <c r="C145" s="47" t="s">
        <v>91</v>
      </c>
      <c r="D145" s="11">
        <f>22288+1371+1919628+119993+159905</f>
        <v>2223185</v>
      </c>
      <c r="E145" s="11">
        <v>2592373</v>
      </c>
      <c r="F145" s="45">
        <f>E145*100/D145</f>
        <v>116.60626533554337</v>
      </c>
    </row>
    <row r="146" spans="1:6" ht="12.75">
      <c r="A146" s="111"/>
      <c r="B146" s="108"/>
      <c r="C146" s="47" t="s">
        <v>92</v>
      </c>
      <c r="D146" s="11">
        <f>6581+893</f>
        <v>7474</v>
      </c>
      <c r="E146" s="11">
        <v>7600</v>
      </c>
      <c r="F146" s="45">
        <f>E146*100/D146</f>
        <v>101.68584426010169</v>
      </c>
    </row>
    <row r="147" spans="1:6" ht="12.75">
      <c r="A147" s="111"/>
      <c r="B147" s="108"/>
      <c r="C147" s="6" t="s">
        <v>8</v>
      </c>
      <c r="D147" s="11">
        <f>120000+10000+100000+137177+10000+45000+80000+15000+30000+5000+10500+12000+2000+907+10000+300+4000+10000</f>
        <v>601884</v>
      </c>
      <c r="E147" s="11">
        <v>553979</v>
      </c>
      <c r="F147" s="45">
        <f>E147*100/D147</f>
        <v>92.04082514238624</v>
      </c>
    </row>
    <row r="148" spans="1:6" ht="12.75">
      <c r="A148" s="111"/>
      <c r="B148" s="109"/>
      <c r="C148" s="6" t="s">
        <v>9</v>
      </c>
      <c r="D148" s="11"/>
      <c r="E148" s="11"/>
      <c r="F148" s="45"/>
    </row>
    <row r="149" spans="1:6" ht="12.75">
      <c r="A149" s="111"/>
      <c r="B149" s="97">
        <v>75414</v>
      </c>
      <c r="C149" s="79" t="s">
        <v>97</v>
      </c>
      <c r="D149" s="30">
        <f>D151+D150</f>
        <v>1000</v>
      </c>
      <c r="E149" s="30">
        <f>E151</f>
        <v>7700</v>
      </c>
      <c r="F149" s="45">
        <f>E149*100/D149</f>
        <v>770</v>
      </c>
    </row>
    <row r="150" spans="1:6" ht="12.75">
      <c r="A150" s="111"/>
      <c r="B150" s="107"/>
      <c r="C150" s="44" t="s">
        <v>6</v>
      </c>
      <c r="D150" s="11"/>
      <c r="E150" s="11"/>
      <c r="F150" s="45"/>
    </row>
    <row r="151" spans="1:6" ht="12.75">
      <c r="A151" s="111"/>
      <c r="B151" s="108"/>
      <c r="C151" s="44" t="s">
        <v>7</v>
      </c>
      <c r="D151" s="11">
        <f>D152+D153+D154+D155</f>
        <v>1000</v>
      </c>
      <c r="E151" s="11">
        <v>7700</v>
      </c>
      <c r="F151" s="45">
        <f>E151*100/D151</f>
        <v>770</v>
      </c>
    </row>
    <row r="152" spans="1:6" ht="12.75">
      <c r="A152" s="111"/>
      <c r="B152" s="108"/>
      <c r="C152" s="47" t="s">
        <v>91</v>
      </c>
      <c r="D152" s="11"/>
      <c r="E152" s="11"/>
      <c r="F152" s="45"/>
    </row>
    <row r="153" spans="1:6" ht="12.75">
      <c r="A153" s="111"/>
      <c r="B153" s="108"/>
      <c r="C153" s="47" t="s">
        <v>92</v>
      </c>
      <c r="D153" s="11"/>
      <c r="E153" s="11"/>
      <c r="F153" s="45"/>
    </row>
    <row r="154" spans="1:6" ht="12.75">
      <c r="A154" s="111"/>
      <c r="B154" s="108"/>
      <c r="C154" s="6" t="s">
        <v>8</v>
      </c>
      <c r="D154" s="11">
        <f>1000</f>
        <v>1000</v>
      </c>
      <c r="E154" s="11">
        <v>7700</v>
      </c>
      <c r="F154" s="45">
        <f>E154*100/D154</f>
        <v>770</v>
      </c>
    </row>
    <row r="155" spans="1:6" ht="12.75">
      <c r="A155" s="112"/>
      <c r="B155" s="109"/>
      <c r="C155" s="6" t="s">
        <v>9</v>
      </c>
      <c r="D155" s="11"/>
      <c r="E155" s="11"/>
      <c r="F155" s="45"/>
    </row>
    <row r="156" spans="1:6" ht="12.75">
      <c r="A156" s="5">
        <v>757</v>
      </c>
      <c r="B156" s="5"/>
      <c r="C156" s="2" t="s">
        <v>34</v>
      </c>
      <c r="D156" s="10">
        <f>D157+D164</f>
        <v>1113645</v>
      </c>
      <c r="E156" s="10">
        <f>SUM(E157+E164)</f>
        <v>1420000</v>
      </c>
      <c r="F156" s="25">
        <f>E156*100/D156</f>
        <v>127.50921523465736</v>
      </c>
    </row>
    <row r="157" spans="1:6" ht="24">
      <c r="A157" s="107"/>
      <c r="B157" s="24">
        <v>75702</v>
      </c>
      <c r="C157" s="4" t="s">
        <v>35</v>
      </c>
      <c r="D157" s="28">
        <f>D159+D158</f>
        <v>669000</v>
      </c>
      <c r="E157" s="10">
        <f>E159</f>
        <v>800000</v>
      </c>
      <c r="F157" s="71">
        <f>E157*100/D157</f>
        <v>119.5814648729447</v>
      </c>
    </row>
    <row r="158" spans="1:6" ht="12.75">
      <c r="A158" s="108"/>
      <c r="B158" s="107"/>
      <c r="C158" s="54" t="s">
        <v>6</v>
      </c>
      <c r="D158" s="16"/>
      <c r="E158" s="11"/>
      <c r="F158" s="71"/>
    </row>
    <row r="159" spans="1:6" ht="12.75">
      <c r="A159" s="108"/>
      <c r="B159" s="108"/>
      <c r="C159" s="44" t="s">
        <v>7</v>
      </c>
      <c r="D159" s="17">
        <f>SUM(D160:D163)</f>
        <v>669000</v>
      </c>
      <c r="E159" s="17">
        <f>SUM(E160:E163)</f>
        <v>800000</v>
      </c>
      <c r="F159" s="25">
        <f>E159*100/D159</f>
        <v>119.5814648729447</v>
      </c>
    </row>
    <row r="160" spans="1:6" ht="12.75">
      <c r="A160" s="108"/>
      <c r="B160" s="108"/>
      <c r="C160" s="47" t="s">
        <v>91</v>
      </c>
      <c r="D160" s="17"/>
      <c r="E160" s="11"/>
      <c r="F160" s="71"/>
    </row>
    <row r="161" spans="1:6" ht="12.75">
      <c r="A161" s="108"/>
      <c r="B161" s="108"/>
      <c r="C161" s="47" t="s">
        <v>92</v>
      </c>
      <c r="D161" s="17"/>
      <c r="E161" s="11"/>
      <c r="F161" s="71"/>
    </row>
    <row r="162" spans="1:6" ht="12.75">
      <c r="A162" s="108"/>
      <c r="B162" s="108"/>
      <c r="C162" s="6" t="s">
        <v>8</v>
      </c>
      <c r="D162" s="17">
        <f>20000+599000+50000</f>
        <v>669000</v>
      </c>
      <c r="E162" s="11">
        <v>800000</v>
      </c>
      <c r="F162" s="71">
        <f>E162*100/D162</f>
        <v>119.5814648729447</v>
      </c>
    </row>
    <row r="163" spans="1:6" ht="12.75">
      <c r="A163" s="108"/>
      <c r="B163" s="109"/>
      <c r="C163" s="6" t="s">
        <v>9</v>
      </c>
      <c r="D163" s="17"/>
      <c r="E163" s="11"/>
      <c r="F163" s="71"/>
    </row>
    <row r="164" spans="1:6" ht="38.25">
      <c r="A164" s="108"/>
      <c r="B164" s="5">
        <v>75704</v>
      </c>
      <c r="C164" s="59" t="s">
        <v>36</v>
      </c>
      <c r="D164" s="28">
        <f>D166+D165</f>
        <v>444645</v>
      </c>
      <c r="E164" s="72">
        <f>E166</f>
        <v>620000</v>
      </c>
      <c r="F164" s="71">
        <f>E164*100/D164</f>
        <v>139.43707901809307</v>
      </c>
    </row>
    <row r="165" spans="1:6" ht="12.75">
      <c r="A165" s="108"/>
      <c r="B165" s="110"/>
      <c r="C165" s="44" t="s">
        <v>6</v>
      </c>
      <c r="D165" s="11"/>
      <c r="E165" s="11"/>
      <c r="F165" s="25"/>
    </row>
    <row r="166" spans="1:6" ht="12.75">
      <c r="A166" s="108"/>
      <c r="B166" s="110"/>
      <c r="C166" s="44" t="s">
        <v>7</v>
      </c>
      <c r="D166" s="11">
        <f>SUM(D167:D170)</f>
        <v>444645</v>
      </c>
      <c r="E166" s="11">
        <f>SUM(E167:E170)</f>
        <v>620000</v>
      </c>
      <c r="F166" s="25">
        <f>E166*100/D166</f>
        <v>139.43707901809307</v>
      </c>
    </row>
    <row r="167" spans="1:6" ht="12.75">
      <c r="A167" s="108"/>
      <c r="B167" s="110"/>
      <c r="C167" s="6" t="s">
        <v>91</v>
      </c>
      <c r="D167" s="11"/>
      <c r="E167" s="11"/>
      <c r="F167" s="25"/>
    </row>
    <row r="168" spans="1:6" ht="12.75">
      <c r="A168" s="108"/>
      <c r="B168" s="110"/>
      <c r="C168" s="6" t="s">
        <v>92</v>
      </c>
      <c r="D168" s="11"/>
      <c r="E168" s="11"/>
      <c r="F168" s="25"/>
    </row>
    <row r="169" spans="1:6" ht="12.75">
      <c r="A169" s="108"/>
      <c r="B169" s="110"/>
      <c r="C169" s="6" t="s">
        <v>8</v>
      </c>
      <c r="D169" s="11">
        <f>444645</f>
        <v>444645</v>
      </c>
      <c r="E169" s="11">
        <v>620000</v>
      </c>
      <c r="F169" s="25">
        <f>E169*100/D169</f>
        <v>139.43707901809307</v>
      </c>
    </row>
    <row r="170" spans="1:7" ht="12.75">
      <c r="A170" s="108"/>
      <c r="B170" s="110"/>
      <c r="C170" s="6" t="s">
        <v>9</v>
      </c>
      <c r="D170" s="11"/>
      <c r="E170" s="11"/>
      <c r="F170" s="25"/>
      <c r="G170" s="105"/>
    </row>
    <row r="171" spans="1:7" ht="12.75">
      <c r="A171" s="5">
        <v>758</v>
      </c>
      <c r="B171" s="5"/>
      <c r="C171" s="5" t="s">
        <v>37</v>
      </c>
      <c r="D171" s="10">
        <f>D172</f>
        <v>551703</v>
      </c>
      <c r="E171" s="10">
        <f>E172</f>
        <v>833000</v>
      </c>
      <c r="F171" s="25">
        <f>E171*100/D171</f>
        <v>150.9870346907666</v>
      </c>
      <c r="G171" s="106"/>
    </row>
    <row r="172" spans="1:6" ht="12.75">
      <c r="A172" s="107"/>
      <c r="B172" s="5">
        <v>75818</v>
      </c>
      <c r="C172" s="5" t="s">
        <v>38</v>
      </c>
      <c r="D172" s="30">
        <f>D173+D174</f>
        <v>551703</v>
      </c>
      <c r="E172" s="73">
        <f>E174</f>
        <v>833000</v>
      </c>
      <c r="F172" s="25">
        <f>E172*100/D172</f>
        <v>150.9870346907666</v>
      </c>
    </row>
    <row r="173" spans="1:6" ht="12.75">
      <c r="A173" s="108"/>
      <c r="B173" s="107"/>
      <c r="C173" s="20" t="s">
        <v>6</v>
      </c>
      <c r="D173" s="16"/>
      <c r="E173" s="11"/>
      <c r="F173" s="71"/>
    </row>
    <row r="174" spans="1:6" ht="12.75">
      <c r="A174" s="108"/>
      <c r="B174" s="108"/>
      <c r="C174" s="49" t="s">
        <v>7</v>
      </c>
      <c r="D174" s="17">
        <f>D175+D176+D179+D178</f>
        <v>551703</v>
      </c>
      <c r="E174" s="11">
        <v>833000</v>
      </c>
      <c r="F174" s="71">
        <f>E174*100/D174</f>
        <v>150.9870346907666</v>
      </c>
    </row>
    <row r="175" spans="1:6" ht="12.75">
      <c r="A175" s="108"/>
      <c r="B175" s="108"/>
      <c r="C175" s="47" t="s">
        <v>91</v>
      </c>
      <c r="D175" s="17"/>
      <c r="E175" s="11"/>
      <c r="F175" s="71"/>
    </row>
    <row r="176" spans="1:6" ht="12.75">
      <c r="A176" s="108"/>
      <c r="B176" s="108"/>
      <c r="C176" s="47" t="s">
        <v>92</v>
      </c>
      <c r="D176" s="17"/>
      <c r="E176" s="11"/>
      <c r="F176" s="71"/>
    </row>
    <row r="177" spans="1:6" ht="12.75">
      <c r="A177" s="108"/>
      <c r="B177" s="108"/>
      <c r="C177" s="48" t="s">
        <v>8</v>
      </c>
      <c r="D177" s="11"/>
      <c r="E177" s="11"/>
      <c r="F177" s="71"/>
    </row>
    <row r="178" spans="1:6" ht="12.75">
      <c r="A178" s="108"/>
      <c r="B178" s="108"/>
      <c r="C178" s="74" t="s">
        <v>76</v>
      </c>
      <c r="D178" s="13"/>
      <c r="E178" s="11"/>
      <c r="F178" s="71"/>
    </row>
    <row r="179" spans="1:6" ht="12.75">
      <c r="A179" s="109"/>
      <c r="B179" s="109"/>
      <c r="C179" s="74" t="s">
        <v>68</v>
      </c>
      <c r="D179" s="11">
        <f>551703</f>
        <v>551703</v>
      </c>
      <c r="E179" s="11">
        <v>833000</v>
      </c>
      <c r="F179" s="71">
        <f>E179*100/D179</f>
        <v>150.9870346907666</v>
      </c>
    </row>
    <row r="180" spans="1:6" ht="12.75">
      <c r="A180" s="5">
        <v>801</v>
      </c>
      <c r="B180" s="5"/>
      <c r="C180" s="5" t="s">
        <v>39</v>
      </c>
      <c r="D180" s="10">
        <f>D181+D188+D195+D202+D209+D216+D223+D230+D237+D244+D251+D258+D265</f>
        <v>13200300.8</v>
      </c>
      <c r="E180" s="10">
        <f>E181+E195+E202+E209+E223+E230+E237+E244+E251+E258+E265+E188+E216</f>
        <v>12935267</v>
      </c>
      <c r="F180" s="25">
        <f>E180*100/D180</f>
        <v>97.99221393500366</v>
      </c>
    </row>
    <row r="181" spans="1:6" ht="25.5">
      <c r="A181" s="99"/>
      <c r="B181" s="5">
        <v>80102</v>
      </c>
      <c r="C181" s="59" t="s">
        <v>40</v>
      </c>
      <c r="D181" s="10">
        <f>D182+D183</f>
        <v>642316</v>
      </c>
      <c r="E181" s="10">
        <f>E182+E183</f>
        <v>738800</v>
      </c>
      <c r="F181" s="25">
        <f>E181*100/D181</f>
        <v>115.0212667908008</v>
      </c>
    </row>
    <row r="182" spans="1:6" ht="12.75">
      <c r="A182" s="100"/>
      <c r="B182" s="107"/>
      <c r="C182" s="20" t="s">
        <v>6</v>
      </c>
      <c r="D182" s="14"/>
      <c r="E182" s="11"/>
      <c r="F182" s="25"/>
    </row>
    <row r="183" spans="1:6" ht="12.75">
      <c r="A183" s="100"/>
      <c r="B183" s="108"/>
      <c r="C183" s="49" t="s">
        <v>7</v>
      </c>
      <c r="D183" s="11">
        <f>SUM(D184:D187)</f>
        <v>642316</v>
      </c>
      <c r="E183" s="11">
        <f>E184+E185+E186</f>
        <v>738800</v>
      </c>
      <c r="F183" s="45">
        <f>E183*100/D183</f>
        <v>115.0212667908008</v>
      </c>
    </row>
    <row r="184" spans="1:6" ht="12.75">
      <c r="A184" s="100"/>
      <c r="B184" s="108"/>
      <c r="C184" s="47" t="s">
        <v>91</v>
      </c>
      <c r="D184" s="11">
        <f>440583+29417</f>
        <v>470000</v>
      </c>
      <c r="E184" s="11">
        <v>538800</v>
      </c>
      <c r="F184" s="45">
        <f>E184*100/D184</f>
        <v>114.63829787234043</v>
      </c>
    </row>
    <row r="185" spans="1:6" ht="12.75">
      <c r="A185" s="100"/>
      <c r="B185" s="108"/>
      <c r="C185" s="47" t="s">
        <v>92</v>
      </c>
      <c r="D185" s="11">
        <f>71040+12460</f>
        <v>83500</v>
      </c>
      <c r="E185" s="75">
        <v>96000</v>
      </c>
      <c r="F185" s="45">
        <f>E185*100/D185</f>
        <v>114.97005988023952</v>
      </c>
    </row>
    <row r="186" spans="1:6" ht="12.75">
      <c r="A186" s="100"/>
      <c r="B186" s="108"/>
      <c r="C186" s="48" t="s">
        <v>8</v>
      </c>
      <c r="D186" s="11">
        <f>10800+12828+4000+4450+6600+1300+500+200+6070+39668+1000+200+1200</f>
        <v>88816</v>
      </c>
      <c r="E186" s="11">
        <v>104000</v>
      </c>
      <c r="F186" s="45">
        <f>E186*100/D186</f>
        <v>117.096018735363</v>
      </c>
    </row>
    <row r="187" spans="1:6" ht="12.75">
      <c r="A187" s="100"/>
      <c r="B187" s="109"/>
      <c r="C187" s="74" t="s">
        <v>9</v>
      </c>
      <c r="D187" s="13"/>
      <c r="E187" s="11"/>
      <c r="F187" s="25"/>
    </row>
    <row r="188" spans="1:6" ht="12.75">
      <c r="A188" s="100"/>
      <c r="B188" s="5">
        <v>80110</v>
      </c>
      <c r="C188" s="5" t="s">
        <v>103</v>
      </c>
      <c r="D188" s="10">
        <f>D190</f>
        <v>88395</v>
      </c>
      <c r="E188" s="10">
        <f>E190</f>
        <v>265186</v>
      </c>
      <c r="F188" s="25">
        <f>E188*100/D188</f>
        <v>300.0011312857062</v>
      </c>
    </row>
    <row r="189" spans="1:6" ht="12.75">
      <c r="A189" s="100"/>
      <c r="B189" s="107"/>
      <c r="C189" s="20" t="s">
        <v>6</v>
      </c>
      <c r="D189" s="14"/>
      <c r="E189" s="11"/>
      <c r="F189" s="25"/>
    </row>
    <row r="190" spans="1:6" ht="12.75">
      <c r="A190" s="100"/>
      <c r="B190" s="108"/>
      <c r="C190" s="49" t="s">
        <v>7</v>
      </c>
      <c r="D190" s="11">
        <f>SUM(D191:D194)</f>
        <v>88395</v>
      </c>
      <c r="E190" s="11">
        <f>E191+E192+E193</f>
        <v>265186</v>
      </c>
      <c r="F190" s="45">
        <f>E190*100/D190</f>
        <v>300.0011312857062</v>
      </c>
    </row>
    <row r="191" spans="1:6" ht="12.75">
      <c r="A191" s="100"/>
      <c r="B191" s="108"/>
      <c r="C191" s="47" t="s">
        <v>91</v>
      </c>
      <c r="D191" s="11">
        <f>30000</f>
        <v>30000</v>
      </c>
      <c r="E191" s="11">
        <v>96450</v>
      </c>
      <c r="F191" s="45">
        <f>E191*100/D191</f>
        <v>321.5</v>
      </c>
    </row>
    <row r="192" spans="1:6" ht="12.75">
      <c r="A192" s="100"/>
      <c r="B192" s="108"/>
      <c r="C192" s="47" t="s">
        <v>92</v>
      </c>
      <c r="D192" s="11">
        <f>4400+800</f>
        <v>5200</v>
      </c>
      <c r="E192" s="11">
        <v>20330</v>
      </c>
      <c r="F192" s="45">
        <f>E192*100/D192</f>
        <v>390.96153846153845</v>
      </c>
    </row>
    <row r="193" spans="1:6" ht="12.75">
      <c r="A193" s="100"/>
      <c r="B193" s="108"/>
      <c r="C193" s="48" t="s">
        <v>8</v>
      </c>
      <c r="D193" s="11">
        <f>3000+2700+39995+300+2000+1000+700+300+1500+700+1000</f>
        <v>53195</v>
      </c>
      <c r="E193" s="11">
        <v>148406</v>
      </c>
      <c r="F193" s="45">
        <f>E193*100/D193</f>
        <v>278.9848669987781</v>
      </c>
    </row>
    <row r="194" spans="1:6" ht="12.75">
      <c r="A194" s="100"/>
      <c r="B194" s="109"/>
      <c r="C194" s="74" t="s">
        <v>9</v>
      </c>
      <c r="D194" s="13"/>
      <c r="E194" s="11"/>
      <c r="F194" s="45"/>
    </row>
    <row r="195" spans="1:6" ht="12.75">
      <c r="A195" s="100"/>
      <c r="B195" s="5">
        <v>80111</v>
      </c>
      <c r="C195" s="5" t="s">
        <v>41</v>
      </c>
      <c r="D195" s="10">
        <f>D197</f>
        <v>1322950</v>
      </c>
      <c r="E195" s="10">
        <f>E197</f>
        <v>1410000</v>
      </c>
      <c r="F195" s="25">
        <f>E195*100/D195</f>
        <v>106.57999168524887</v>
      </c>
    </row>
    <row r="196" spans="1:6" ht="12.75">
      <c r="A196" s="100"/>
      <c r="B196" s="107"/>
      <c r="C196" s="20" t="s">
        <v>6</v>
      </c>
      <c r="D196" s="14"/>
      <c r="E196" s="11"/>
      <c r="F196" s="25"/>
    </row>
    <row r="197" spans="1:6" ht="12.75">
      <c r="A197" s="100"/>
      <c r="B197" s="108"/>
      <c r="C197" s="49" t="s">
        <v>7</v>
      </c>
      <c r="D197" s="11">
        <f>SUM(D198:D201)</f>
        <v>1322950</v>
      </c>
      <c r="E197" s="11">
        <f>E198+E199+E200</f>
        <v>1410000</v>
      </c>
      <c r="F197" s="45">
        <f>E197*100/D197</f>
        <v>106.57999168524887</v>
      </c>
    </row>
    <row r="198" spans="1:6" ht="12.75">
      <c r="A198" s="100"/>
      <c r="B198" s="108"/>
      <c r="C198" s="47" t="s">
        <v>91</v>
      </c>
      <c r="D198" s="11">
        <f>879768+59432</f>
        <v>939200</v>
      </c>
      <c r="E198" s="11">
        <v>970000</v>
      </c>
      <c r="F198" s="45">
        <f>E198*100/D198</f>
        <v>103.2793867120954</v>
      </c>
    </row>
    <row r="199" spans="1:6" ht="12.75">
      <c r="A199" s="100"/>
      <c r="B199" s="108"/>
      <c r="C199" s="47" t="s">
        <v>92</v>
      </c>
      <c r="D199" s="11">
        <f>160100+24150</f>
        <v>184250</v>
      </c>
      <c r="E199" s="11">
        <v>170000</v>
      </c>
      <c r="F199" s="45">
        <f>E199*100/D199</f>
        <v>92.26594301221166</v>
      </c>
    </row>
    <row r="200" spans="1:6" ht="12.75">
      <c r="A200" s="100"/>
      <c r="B200" s="108"/>
      <c r="C200" s="48" t="s">
        <v>8</v>
      </c>
      <c r="D200" s="11">
        <f>2200+1000+17410+3000+73424+800+4600+7400+500+500+11000+1500+3000+68846+1420+2900</f>
        <v>199500</v>
      </c>
      <c r="E200" s="11">
        <v>270000</v>
      </c>
      <c r="F200" s="45">
        <f>E200*100/D200</f>
        <v>135.33834586466165</v>
      </c>
    </row>
    <row r="201" spans="1:6" ht="12.75">
      <c r="A201" s="100"/>
      <c r="B201" s="109"/>
      <c r="C201" s="74" t="s">
        <v>9</v>
      </c>
      <c r="D201" s="13"/>
      <c r="E201" s="11"/>
      <c r="F201" s="45"/>
    </row>
    <row r="202" spans="1:6" ht="12.75">
      <c r="A202" s="100"/>
      <c r="B202" s="65">
        <v>80114</v>
      </c>
      <c r="C202" s="2" t="s">
        <v>71</v>
      </c>
      <c r="D202" s="18">
        <f>D204</f>
        <v>243038</v>
      </c>
      <c r="E202" s="18">
        <f>E204</f>
        <v>265000</v>
      </c>
      <c r="F202" s="76">
        <f>E202*100/D202</f>
        <v>109.03644697537011</v>
      </c>
    </row>
    <row r="203" spans="1:6" ht="12.75">
      <c r="A203" s="100"/>
      <c r="B203" s="107"/>
      <c r="C203" s="64" t="s">
        <v>6</v>
      </c>
      <c r="D203" s="13"/>
      <c r="E203" s="11"/>
      <c r="F203" s="45"/>
    </row>
    <row r="204" spans="1:6" ht="12.75">
      <c r="A204" s="100"/>
      <c r="B204" s="108"/>
      <c r="C204" s="52" t="s">
        <v>7</v>
      </c>
      <c r="D204" s="13">
        <f>SUM(D205:D208)</f>
        <v>243038</v>
      </c>
      <c r="E204" s="11">
        <f>E205+E206+E207</f>
        <v>265000</v>
      </c>
      <c r="F204" s="45">
        <f>E204*100/D204</f>
        <v>109.03644697537011</v>
      </c>
    </row>
    <row r="205" spans="1:6" ht="12.75">
      <c r="A205" s="100"/>
      <c r="B205" s="108"/>
      <c r="C205" s="47" t="s">
        <v>91</v>
      </c>
      <c r="D205" s="13">
        <f>161400+16800</f>
        <v>178200</v>
      </c>
      <c r="E205" s="75">
        <v>195000</v>
      </c>
      <c r="F205" s="45">
        <f>E205*100/D205</f>
        <v>109.42760942760943</v>
      </c>
    </row>
    <row r="206" spans="1:6" ht="12.75">
      <c r="A206" s="100"/>
      <c r="B206" s="108"/>
      <c r="C206" s="47" t="s">
        <v>92</v>
      </c>
      <c r="D206" s="13">
        <f>28800+4400</f>
        <v>33200</v>
      </c>
      <c r="E206" s="11">
        <v>35000</v>
      </c>
      <c r="F206" s="45">
        <f>E206*100/D206</f>
        <v>105.42168674698796</v>
      </c>
    </row>
    <row r="207" spans="1:8" ht="12.75">
      <c r="A207" s="100"/>
      <c r="B207" s="108"/>
      <c r="C207" s="47" t="s">
        <v>8</v>
      </c>
      <c r="D207" s="13">
        <f>2500+500+12000+5438+1200+10000</f>
        <v>31638</v>
      </c>
      <c r="E207" s="11">
        <v>35000</v>
      </c>
      <c r="F207" s="45">
        <f>E207*100/D207</f>
        <v>110.62646184967444</v>
      </c>
      <c r="H207" s="7"/>
    </row>
    <row r="208" spans="1:6" ht="12.75">
      <c r="A208" s="100"/>
      <c r="B208" s="109"/>
      <c r="C208" s="56" t="s">
        <v>9</v>
      </c>
      <c r="D208" s="13"/>
      <c r="E208" s="11"/>
      <c r="F208" s="25"/>
    </row>
    <row r="209" spans="1:6" ht="12.75">
      <c r="A209" s="100"/>
      <c r="B209" s="67">
        <v>80120</v>
      </c>
      <c r="C209" s="5" t="s">
        <v>42</v>
      </c>
      <c r="D209" s="10">
        <f>D211</f>
        <v>3507742</v>
      </c>
      <c r="E209" s="10">
        <f>E211+E210</f>
        <v>3560271</v>
      </c>
      <c r="F209" s="25">
        <f>E209*100/D209</f>
        <v>101.49751606589082</v>
      </c>
    </row>
    <row r="210" spans="1:6" ht="12.75">
      <c r="A210" s="100"/>
      <c r="B210" s="107"/>
      <c r="C210" s="20" t="s">
        <v>6</v>
      </c>
      <c r="D210" s="14"/>
      <c r="E210" s="11"/>
      <c r="F210" s="25"/>
    </row>
    <row r="211" spans="1:6" ht="12.75">
      <c r="A211" s="100"/>
      <c r="B211" s="108"/>
      <c r="C211" s="49" t="s">
        <v>7</v>
      </c>
      <c r="D211" s="11">
        <f>SUM(D212:D215)</f>
        <v>3507742</v>
      </c>
      <c r="E211" s="11">
        <f>E212+E213+E214+E215</f>
        <v>3560271</v>
      </c>
      <c r="F211" s="45">
        <f aca="true" t="shared" si="3" ref="F211:F223">E211*100/D211</f>
        <v>101.49751606589082</v>
      </c>
    </row>
    <row r="212" spans="1:7" ht="12.75">
      <c r="A212" s="100"/>
      <c r="B212" s="108"/>
      <c r="C212" s="47" t="s">
        <v>91</v>
      </c>
      <c r="D212" s="11">
        <f>1706586+146622</f>
        <v>1853208</v>
      </c>
      <c r="E212" s="11">
        <v>2100000</v>
      </c>
      <c r="F212" s="45">
        <f t="shared" si="3"/>
        <v>113.31701568307497</v>
      </c>
      <c r="G212" s="77"/>
    </row>
    <row r="213" spans="1:6" ht="12.75">
      <c r="A213" s="100"/>
      <c r="B213" s="108"/>
      <c r="C213" s="47" t="s">
        <v>92</v>
      </c>
      <c r="D213" s="11">
        <f>302708+48627</f>
        <v>351335</v>
      </c>
      <c r="E213" s="11">
        <v>350000</v>
      </c>
      <c r="F213" s="45">
        <f t="shared" si="3"/>
        <v>99.62002077789005</v>
      </c>
    </row>
    <row r="214" spans="1:6" ht="12.75">
      <c r="A214" s="100"/>
      <c r="B214" s="108"/>
      <c r="C214" s="48" t="s">
        <v>8</v>
      </c>
      <c r="D214" s="11">
        <f>2000+12934+1500+39016+3000+190093+402945+2500+41000+1300+600+9000+4800+8450+192361+4000+2200+5500</f>
        <v>923199</v>
      </c>
      <c r="E214" s="11">
        <v>664271</v>
      </c>
      <c r="F214" s="45">
        <f t="shared" si="3"/>
        <v>71.95317585915929</v>
      </c>
    </row>
    <row r="215" spans="1:6" ht="12.75">
      <c r="A215" s="100"/>
      <c r="B215" s="109"/>
      <c r="C215" s="74" t="s">
        <v>9</v>
      </c>
      <c r="D215" s="13">
        <f>380000</f>
        <v>380000</v>
      </c>
      <c r="E215" s="11">
        <v>446000</v>
      </c>
      <c r="F215" s="45">
        <f t="shared" si="3"/>
        <v>117.36842105263158</v>
      </c>
    </row>
    <row r="216" spans="1:6" ht="25.5">
      <c r="A216" s="100"/>
      <c r="B216" s="5">
        <v>80121</v>
      </c>
      <c r="C216" s="59" t="s">
        <v>104</v>
      </c>
      <c r="D216" s="10">
        <f>D217+D218</f>
        <v>34525</v>
      </c>
      <c r="E216" s="10">
        <f>E217+E218</f>
        <v>55087</v>
      </c>
      <c r="F216" s="45">
        <f t="shared" si="3"/>
        <v>159.55684286748732</v>
      </c>
    </row>
    <row r="217" spans="1:6" ht="12.75">
      <c r="A217" s="100"/>
      <c r="B217" s="107"/>
      <c r="C217" s="20" t="s">
        <v>6</v>
      </c>
      <c r="D217" s="14"/>
      <c r="E217" s="11"/>
      <c r="F217" s="45"/>
    </row>
    <row r="218" spans="1:6" ht="12.75">
      <c r="A218" s="100"/>
      <c r="B218" s="108"/>
      <c r="C218" s="49" t="s">
        <v>7</v>
      </c>
      <c r="D218" s="11">
        <f>D219+D220+D221+D222</f>
        <v>34525</v>
      </c>
      <c r="E218" s="11">
        <f>E219+E220+E221+E222</f>
        <v>55087</v>
      </c>
      <c r="F218" s="45">
        <f t="shared" si="3"/>
        <v>159.55684286748732</v>
      </c>
    </row>
    <row r="219" spans="1:6" ht="12.75">
      <c r="A219" s="100"/>
      <c r="B219" s="108"/>
      <c r="C219" s="47" t="s">
        <v>91</v>
      </c>
      <c r="D219" s="11">
        <f>19000</f>
        <v>19000</v>
      </c>
      <c r="E219" s="11">
        <v>37000</v>
      </c>
      <c r="F219" s="45">
        <f t="shared" si="3"/>
        <v>194.73684210526315</v>
      </c>
    </row>
    <row r="220" spans="1:6" ht="12.75">
      <c r="A220" s="100"/>
      <c r="B220" s="108"/>
      <c r="C220" s="47" t="s">
        <v>92</v>
      </c>
      <c r="D220" s="11">
        <f>3000+500</f>
        <v>3500</v>
      </c>
      <c r="E220" s="21">
        <v>6528</v>
      </c>
      <c r="F220" s="45">
        <f t="shared" si="3"/>
        <v>186.5142857142857</v>
      </c>
    </row>
    <row r="221" spans="1:6" ht="12.75">
      <c r="A221" s="100"/>
      <c r="B221" s="108"/>
      <c r="C221" s="48" t="s">
        <v>8</v>
      </c>
      <c r="D221" s="11">
        <f>400+5000+1000+200+2000+1000+200+1225+500+500</f>
        <v>12025</v>
      </c>
      <c r="E221" s="11">
        <v>11559</v>
      </c>
      <c r="F221" s="45">
        <f t="shared" si="3"/>
        <v>96.12474012474013</v>
      </c>
    </row>
    <row r="222" spans="1:6" ht="12.75">
      <c r="A222" s="100"/>
      <c r="B222" s="109"/>
      <c r="C222" s="48" t="s">
        <v>9</v>
      </c>
      <c r="D222" s="11"/>
      <c r="E222" s="11"/>
      <c r="F222" s="45"/>
    </row>
    <row r="223" spans="1:6" ht="12.75">
      <c r="A223" s="100"/>
      <c r="B223" s="5">
        <v>80123</v>
      </c>
      <c r="C223" s="5" t="s">
        <v>43</v>
      </c>
      <c r="D223" s="10">
        <f>D226+D227+D228</f>
        <v>2004793</v>
      </c>
      <c r="E223" s="10">
        <f>E226+E227+E228</f>
        <v>1937150</v>
      </c>
      <c r="F223" s="25">
        <f t="shared" si="3"/>
        <v>96.62593594450898</v>
      </c>
    </row>
    <row r="224" spans="1:6" ht="12.75">
      <c r="A224" s="100"/>
      <c r="B224" s="107"/>
      <c r="C224" s="20" t="s">
        <v>6</v>
      </c>
      <c r="D224" s="14"/>
      <c r="E224" s="11"/>
      <c r="F224" s="45"/>
    </row>
    <row r="225" spans="1:6" ht="12.75">
      <c r="A225" s="100"/>
      <c r="B225" s="108"/>
      <c r="C225" s="49" t="s">
        <v>7</v>
      </c>
      <c r="D225" s="11">
        <f>SUM(D226:D229)</f>
        <v>2004793</v>
      </c>
      <c r="E225" s="11">
        <f>E226+E227+E228</f>
        <v>1937150</v>
      </c>
      <c r="F225" s="45">
        <f>E225*100/D225</f>
        <v>96.62593594450898</v>
      </c>
    </row>
    <row r="226" spans="1:6" ht="12.75">
      <c r="A226" s="100"/>
      <c r="B226" s="108"/>
      <c r="C226" s="47" t="s">
        <v>91</v>
      </c>
      <c r="D226" s="11">
        <f>1325452+118805</f>
        <v>1444257</v>
      </c>
      <c r="E226" s="11">
        <v>1382150</v>
      </c>
      <c r="F226" s="45">
        <f>E226*100/D226</f>
        <v>95.6997265722098</v>
      </c>
    </row>
    <row r="227" spans="1:6" ht="12.75">
      <c r="A227" s="100"/>
      <c r="B227" s="108"/>
      <c r="C227" s="47" t="s">
        <v>92</v>
      </c>
      <c r="D227" s="11">
        <f>238950+34909</f>
        <v>273859</v>
      </c>
      <c r="E227" s="21">
        <v>240000</v>
      </c>
      <c r="F227" s="45">
        <f>E227*100/D227</f>
        <v>87.63633840772076</v>
      </c>
    </row>
    <row r="228" spans="1:6" ht="12.75">
      <c r="A228" s="100"/>
      <c r="B228" s="108"/>
      <c r="C228" s="48" t="s">
        <v>8</v>
      </c>
      <c r="D228" s="11">
        <f>4000+1000+17000+3443+116007+5875+2500+18650+1600+1500+5600+2132+2500+101687+883+2300</f>
        <v>286677</v>
      </c>
      <c r="E228" s="11">
        <v>315000</v>
      </c>
      <c r="F228" s="45">
        <f>E228*100/D228</f>
        <v>109.87976014818071</v>
      </c>
    </row>
    <row r="229" spans="1:7" ht="12.75">
      <c r="A229" s="100"/>
      <c r="B229" s="109"/>
      <c r="C229" s="48" t="s">
        <v>9</v>
      </c>
      <c r="D229" s="11"/>
      <c r="E229" s="11"/>
      <c r="F229" s="45"/>
      <c r="G229" s="33"/>
    </row>
    <row r="230" spans="1:6" ht="12.75">
      <c r="A230" s="99"/>
      <c r="B230" s="5">
        <v>80130</v>
      </c>
      <c r="C230" s="5" t="s">
        <v>44</v>
      </c>
      <c r="D230" s="28">
        <f>D232</f>
        <v>4709074</v>
      </c>
      <c r="E230" s="28">
        <f>E232</f>
        <v>4066592</v>
      </c>
      <c r="F230" s="76">
        <f>E230*100/D230</f>
        <v>86.35651085542509</v>
      </c>
    </row>
    <row r="231" spans="1:6" ht="12.75">
      <c r="A231" s="100"/>
      <c r="B231" s="107"/>
      <c r="C231" s="20" t="s">
        <v>6</v>
      </c>
      <c r="D231" s="16"/>
      <c r="E231" s="11"/>
      <c r="F231" s="45"/>
    </row>
    <row r="232" spans="1:6" ht="12.75">
      <c r="A232" s="100"/>
      <c r="B232" s="108"/>
      <c r="C232" s="49" t="s">
        <v>7</v>
      </c>
      <c r="D232" s="17">
        <f>SUM(D233:D236)</f>
        <v>4709074</v>
      </c>
      <c r="E232" s="17">
        <f>E233+E234+E235+E236</f>
        <v>4066592</v>
      </c>
      <c r="F232" s="45">
        <f aca="true" t="shared" si="4" ref="F232:F237">E232*100/D232</f>
        <v>86.35651085542509</v>
      </c>
    </row>
    <row r="233" spans="1:6" ht="12.75">
      <c r="A233" s="100"/>
      <c r="B233" s="108"/>
      <c r="C233" s="47" t="s">
        <v>91</v>
      </c>
      <c r="D233" s="17">
        <f>2059526+155474</f>
        <v>2215000</v>
      </c>
      <c r="E233" s="11">
        <v>2600000</v>
      </c>
      <c r="F233" s="45">
        <f t="shared" si="4"/>
        <v>117.38148984198645</v>
      </c>
    </row>
    <row r="234" spans="1:6" ht="12.75">
      <c r="A234" s="100"/>
      <c r="B234" s="108"/>
      <c r="C234" s="47" t="s">
        <v>92</v>
      </c>
      <c r="D234" s="17">
        <f>352177+750+51501</f>
        <v>404428</v>
      </c>
      <c r="E234" s="11">
        <v>454000</v>
      </c>
      <c r="F234" s="45">
        <f t="shared" si="4"/>
        <v>112.25731156101952</v>
      </c>
    </row>
    <row r="235" spans="1:6" ht="12.75">
      <c r="A235" s="100"/>
      <c r="B235" s="108"/>
      <c r="C235" s="48" t="s">
        <v>8</v>
      </c>
      <c r="D235" s="17">
        <f>6000+98+11600+2000+4000+48153+13702+15230+520+314017+1166561+6700+137910+38987+6450+3900+510+20150+1230+7100+10635+238017+3050+4076+9050</f>
        <v>2069646</v>
      </c>
      <c r="E235" s="11">
        <v>988592</v>
      </c>
      <c r="F235" s="45">
        <f t="shared" si="4"/>
        <v>47.76623635153065</v>
      </c>
    </row>
    <row r="236" spans="1:6" ht="12.75">
      <c r="A236" s="101"/>
      <c r="B236" s="109"/>
      <c r="C236" s="6" t="s">
        <v>9</v>
      </c>
      <c r="D236" s="17">
        <f>20000</f>
        <v>20000</v>
      </c>
      <c r="E236" s="11">
        <v>24000</v>
      </c>
      <c r="F236" s="45">
        <f t="shared" si="4"/>
        <v>120</v>
      </c>
    </row>
    <row r="237" spans="1:6" ht="12.75">
      <c r="A237" s="5">
        <v>801</v>
      </c>
      <c r="B237" s="5">
        <v>80134</v>
      </c>
      <c r="C237" s="5" t="s">
        <v>45</v>
      </c>
      <c r="D237" s="28">
        <f>D239</f>
        <v>371704</v>
      </c>
      <c r="E237" s="28">
        <f>E239</f>
        <v>366071</v>
      </c>
      <c r="F237" s="25">
        <f t="shared" si="4"/>
        <v>98.48454684372511</v>
      </c>
    </row>
    <row r="238" spans="1:6" ht="12.75">
      <c r="A238" s="107"/>
      <c r="B238" s="107"/>
      <c r="C238" s="20" t="s">
        <v>6</v>
      </c>
      <c r="D238" s="16"/>
      <c r="E238" s="11"/>
      <c r="F238" s="45"/>
    </row>
    <row r="239" spans="1:6" ht="12.75">
      <c r="A239" s="108"/>
      <c r="B239" s="108"/>
      <c r="C239" s="49" t="s">
        <v>7</v>
      </c>
      <c r="D239" s="17">
        <f>SUM(D240:D243)</f>
        <v>371704</v>
      </c>
      <c r="E239" s="17">
        <f>E240+E241+E242</f>
        <v>366071</v>
      </c>
      <c r="F239" s="45">
        <f>E239*100/D239</f>
        <v>98.48454684372511</v>
      </c>
    </row>
    <row r="240" spans="1:6" ht="12.75">
      <c r="A240" s="108"/>
      <c r="B240" s="108"/>
      <c r="C240" s="6" t="s">
        <v>91</v>
      </c>
      <c r="D240" s="17">
        <f>268443+22361</f>
        <v>290804</v>
      </c>
      <c r="E240" s="11">
        <v>270000</v>
      </c>
      <c r="F240" s="45">
        <f>E240*100/D240</f>
        <v>92.84604063217837</v>
      </c>
    </row>
    <row r="241" spans="1:6" ht="12.75">
      <c r="A241" s="108"/>
      <c r="B241" s="108"/>
      <c r="C241" s="6" t="s">
        <v>92</v>
      </c>
      <c r="D241" s="17">
        <f>46200+6700</f>
        <v>52900</v>
      </c>
      <c r="E241" s="11">
        <v>47500</v>
      </c>
      <c r="F241" s="45">
        <f>E241*100/D241</f>
        <v>89.79206049149339</v>
      </c>
    </row>
    <row r="242" spans="1:6" ht="12.75">
      <c r="A242" s="108"/>
      <c r="B242" s="108"/>
      <c r="C242" s="48" t="s">
        <v>8</v>
      </c>
      <c r="D242" s="17">
        <f>2875+3082+5125+400+15218+300+1000</f>
        <v>28000</v>
      </c>
      <c r="E242" s="11">
        <v>48571</v>
      </c>
      <c r="F242" s="45">
        <f>E242*100/D242</f>
        <v>173.46785714285716</v>
      </c>
    </row>
    <row r="243" spans="1:6" ht="12.75">
      <c r="A243" s="108"/>
      <c r="B243" s="109"/>
      <c r="C243" s="74" t="s">
        <v>9</v>
      </c>
      <c r="D243" s="19"/>
      <c r="E243" s="11"/>
      <c r="F243" s="45"/>
    </row>
    <row r="244" spans="1:6" ht="24">
      <c r="A244" s="108"/>
      <c r="B244" s="24">
        <v>80142</v>
      </c>
      <c r="C244" s="4" t="s">
        <v>46</v>
      </c>
      <c r="D244" s="10">
        <f>D246</f>
        <v>116489</v>
      </c>
      <c r="E244" s="10">
        <f>E246</f>
        <v>106500</v>
      </c>
      <c r="F244" s="25">
        <f>E244*100/D244</f>
        <v>91.42494141077698</v>
      </c>
    </row>
    <row r="245" spans="1:6" ht="12.75">
      <c r="A245" s="108"/>
      <c r="B245" s="107"/>
      <c r="C245" s="20" t="s">
        <v>6</v>
      </c>
      <c r="D245" s="14"/>
      <c r="E245" s="11"/>
      <c r="F245" s="45"/>
    </row>
    <row r="246" spans="1:6" ht="12.75">
      <c r="A246" s="108"/>
      <c r="B246" s="108"/>
      <c r="C246" s="49" t="s">
        <v>7</v>
      </c>
      <c r="D246" s="11">
        <f>SUM(D247:D250)</f>
        <v>116489</v>
      </c>
      <c r="E246" s="11">
        <f>E247+E248+E249</f>
        <v>106500</v>
      </c>
      <c r="F246" s="45">
        <f>E246*100/D246</f>
        <v>91.42494141077698</v>
      </c>
    </row>
    <row r="247" spans="1:6" ht="12.75">
      <c r="A247" s="108"/>
      <c r="B247" s="108"/>
      <c r="C247" s="6" t="s">
        <v>91</v>
      </c>
      <c r="D247" s="11">
        <f>75854+6146</f>
        <v>82000</v>
      </c>
      <c r="E247" s="11">
        <v>60600</v>
      </c>
      <c r="F247" s="45">
        <f>E247*100/D247</f>
        <v>73.90243902439025</v>
      </c>
    </row>
    <row r="248" spans="1:6" ht="12.75">
      <c r="A248" s="108"/>
      <c r="B248" s="108"/>
      <c r="C248" s="6" t="s">
        <v>92</v>
      </c>
      <c r="D248" s="11">
        <f>15847+2140</f>
        <v>17987</v>
      </c>
      <c r="E248" s="11">
        <v>10800</v>
      </c>
      <c r="F248" s="45">
        <f>E248*100/D248</f>
        <v>60.04336465224885</v>
      </c>
    </row>
    <row r="249" spans="1:6" ht="12.75">
      <c r="A249" s="108"/>
      <c r="B249" s="108"/>
      <c r="C249" s="48" t="s">
        <v>8</v>
      </c>
      <c r="D249" s="11">
        <f>1000+5000+1100+2000+200+1200+4831+500+671</f>
        <v>16502</v>
      </c>
      <c r="E249" s="11">
        <v>35100</v>
      </c>
      <c r="F249" s="45">
        <f>E249*100/D249</f>
        <v>212.70149072839655</v>
      </c>
    </row>
    <row r="250" spans="1:6" ht="12.75">
      <c r="A250" s="108"/>
      <c r="B250" s="109"/>
      <c r="C250" s="74" t="s">
        <v>9</v>
      </c>
      <c r="D250" s="13"/>
      <c r="E250" s="11"/>
      <c r="F250" s="45"/>
    </row>
    <row r="251" spans="1:6" ht="12.75">
      <c r="A251" s="108"/>
      <c r="B251" s="78">
        <v>80146</v>
      </c>
      <c r="C251" s="79" t="s">
        <v>81</v>
      </c>
      <c r="D251" s="30">
        <f>D253</f>
        <v>43960</v>
      </c>
      <c r="E251" s="30">
        <v>47900</v>
      </c>
      <c r="F251" s="76">
        <f>E251*100/D251</f>
        <v>108.96269335759781</v>
      </c>
    </row>
    <row r="252" spans="1:7" ht="12.75">
      <c r="A252" s="108"/>
      <c r="B252" s="107"/>
      <c r="C252" s="20" t="s">
        <v>6</v>
      </c>
      <c r="D252" s="20"/>
      <c r="E252" s="13"/>
      <c r="F252" s="45"/>
      <c r="G252" s="80"/>
    </row>
    <row r="253" spans="1:6" ht="12.75">
      <c r="A253" s="108"/>
      <c r="B253" s="108"/>
      <c r="C253" s="49" t="s">
        <v>7</v>
      </c>
      <c r="D253" s="13">
        <f>SUM(D254:D257)</f>
        <v>43960</v>
      </c>
      <c r="E253" s="11">
        <v>47900</v>
      </c>
      <c r="F253" s="45">
        <f>E253*100/D253</f>
        <v>108.96269335759781</v>
      </c>
    </row>
    <row r="254" spans="1:6" ht="12.75">
      <c r="A254" s="108"/>
      <c r="B254" s="108"/>
      <c r="C254" s="6" t="s">
        <v>91</v>
      </c>
      <c r="D254" s="13"/>
      <c r="E254" s="11"/>
      <c r="F254" s="45"/>
    </row>
    <row r="255" spans="1:6" ht="12.75">
      <c r="A255" s="108"/>
      <c r="B255" s="108"/>
      <c r="C255" s="6" t="s">
        <v>92</v>
      </c>
      <c r="D255" s="13"/>
      <c r="E255" s="11"/>
      <c r="F255" s="45"/>
    </row>
    <row r="256" spans="1:6" ht="12.75">
      <c r="A256" s="108"/>
      <c r="B256" s="108"/>
      <c r="C256" s="48" t="s">
        <v>8</v>
      </c>
      <c r="D256" s="13">
        <f>32840+11120</f>
        <v>43960</v>
      </c>
      <c r="E256" s="11">
        <v>47900</v>
      </c>
      <c r="F256" s="45">
        <f>E256*100/D256</f>
        <v>108.96269335759781</v>
      </c>
    </row>
    <row r="257" spans="1:6" ht="12.75">
      <c r="A257" s="108"/>
      <c r="B257" s="109"/>
      <c r="C257" s="74" t="s">
        <v>9</v>
      </c>
      <c r="D257" s="13"/>
      <c r="E257" s="11"/>
      <c r="F257" s="45"/>
    </row>
    <row r="258" spans="1:6" ht="12.75">
      <c r="A258" s="108"/>
      <c r="B258" s="24">
        <v>80147</v>
      </c>
      <c r="C258" s="2" t="s">
        <v>47</v>
      </c>
      <c r="D258" s="10">
        <f>D260</f>
        <v>100537</v>
      </c>
      <c r="E258" s="10">
        <f>E260</f>
        <v>109710</v>
      </c>
      <c r="F258" s="25">
        <f>E258*100/D258</f>
        <v>109.12400409799378</v>
      </c>
    </row>
    <row r="259" spans="1:6" ht="12.75">
      <c r="A259" s="108"/>
      <c r="B259" s="107"/>
      <c r="C259" s="20" t="s">
        <v>6</v>
      </c>
      <c r="D259" s="14"/>
      <c r="E259" s="11"/>
      <c r="F259" s="45"/>
    </row>
    <row r="260" spans="1:6" ht="12.75">
      <c r="A260" s="108"/>
      <c r="B260" s="108"/>
      <c r="C260" s="44" t="s">
        <v>7</v>
      </c>
      <c r="D260" s="11">
        <f>SUM(D261:D264)</f>
        <v>100537</v>
      </c>
      <c r="E260" s="11">
        <f>SUM(E261:E264)</f>
        <v>109710</v>
      </c>
      <c r="F260" s="45">
        <f>E260*100/D260</f>
        <v>109.12400409799378</v>
      </c>
    </row>
    <row r="261" spans="1:6" ht="12.75">
      <c r="A261" s="108"/>
      <c r="B261" s="108"/>
      <c r="C261" s="6" t="s">
        <v>91</v>
      </c>
      <c r="D261" s="11">
        <f>57900+2530</f>
        <v>60430</v>
      </c>
      <c r="E261" s="75">
        <f>66000</f>
        <v>66000</v>
      </c>
      <c r="F261" s="45">
        <f>E261*100/D261</f>
        <v>109.21727618732417</v>
      </c>
    </row>
    <row r="262" spans="1:6" ht="12.75">
      <c r="A262" s="108"/>
      <c r="B262" s="108"/>
      <c r="C262" s="6" t="s">
        <v>92</v>
      </c>
      <c r="D262" s="11">
        <f>10033+1417</f>
        <v>11450</v>
      </c>
      <c r="E262" s="75">
        <v>13150</v>
      </c>
      <c r="F262" s="45">
        <f>E262*100/D262</f>
        <v>114.8471615720524</v>
      </c>
    </row>
    <row r="263" spans="1:6" ht="12.75">
      <c r="A263" s="108"/>
      <c r="B263" s="108"/>
      <c r="C263" s="6" t="s">
        <v>8</v>
      </c>
      <c r="D263" s="11">
        <f>5000+500+8287+5000+2000+2000+100+5470+300</f>
        <v>28657</v>
      </c>
      <c r="E263" s="11">
        <v>30560</v>
      </c>
      <c r="F263" s="45">
        <f>E263*100/D263</f>
        <v>106.64061136894999</v>
      </c>
    </row>
    <row r="264" spans="1:6" ht="12.75">
      <c r="A264" s="108"/>
      <c r="B264" s="109"/>
      <c r="C264" s="6" t="s">
        <v>9</v>
      </c>
      <c r="D264" s="13"/>
      <c r="E264" s="11"/>
      <c r="F264" s="25"/>
    </row>
    <row r="265" spans="1:6" ht="12.75">
      <c r="A265" s="108"/>
      <c r="B265" s="24">
        <v>80195</v>
      </c>
      <c r="C265" s="5" t="s">
        <v>19</v>
      </c>
      <c r="D265" s="10">
        <f>D267</f>
        <v>14777.8</v>
      </c>
      <c r="E265" s="10">
        <f>E267</f>
        <v>7000</v>
      </c>
      <c r="F265" s="25">
        <f>E265*100/D265</f>
        <v>47.368349822030346</v>
      </c>
    </row>
    <row r="266" spans="1:6" ht="12.75">
      <c r="A266" s="108"/>
      <c r="B266" s="107"/>
      <c r="C266" s="20" t="s">
        <v>6</v>
      </c>
      <c r="D266" s="14"/>
      <c r="E266" s="11"/>
      <c r="F266" s="25"/>
    </row>
    <row r="267" spans="1:6" ht="12.75">
      <c r="A267" s="108"/>
      <c r="B267" s="108"/>
      <c r="C267" s="49" t="s">
        <v>7</v>
      </c>
      <c r="D267" s="11">
        <f>SUM(D268:D271)</f>
        <v>14777.8</v>
      </c>
      <c r="E267" s="11">
        <v>7000</v>
      </c>
      <c r="F267" s="25">
        <f>E267*100/D267</f>
        <v>47.368349822030346</v>
      </c>
    </row>
    <row r="268" spans="1:6" ht="12.75">
      <c r="A268" s="108"/>
      <c r="B268" s="108"/>
      <c r="C268" s="6" t="s">
        <v>91</v>
      </c>
      <c r="D268" s="11">
        <f>6600</f>
        <v>6600</v>
      </c>
      <c r="E268" s="11"/>
      <c r="F268" s="25"/>
    </row>
    <row r="269" spans="1:6" ht="12.75">
      <c r="A269" s="108"/>
      <c r="B269" s="108"/>
      <c r="C269" s="6" t="s">
        <v>92</v>
      </c>
      <c r="D269" s="11">
        <f>1009+162.8</f>
        <v>1171.8</v>
      </c>
      <c r="E269" s="11"/>
      <c r="F269" s="25"/>
    </row>
    <row r="270" spans="1:6" ht="12.75">
      <c r="A270" s="108"/>
      <c r="B270" s="108"/>
      <c r="C270" s="48" t="s">
        <v>8</v>
      </c>
      <c r="D270" s="11">
        <f>600+2000+3640+766</f>
        <v>7006</v>
      </c>
      <c r="E270" s="11">
        <v>7000</v>
      </c>
      <c r="F270" s="25">
        <f>E270*100/D270</f>
        <v>99.91435912075364</v>
      </c>
    </row>
    <row r="271" spans="1:6" ht="12.75">
      <c r="A271" s="108"/>
      <c r="B271" s="108"/>
      <c r="C271" s="74" t="s">
        <v>9</v>
      </c>
      <c r="D271" s="13"/>
      <c r="E271" s="11"/>
      <c r="F271" s="25"/>
    </row>
    <row r="272" spans="1:6" ht="12.75">
      <c r="A272" s="108"/>
      <c r="B272" s="108"/>
      <c r="C272" s="2" t="s">
        <v>66</v>
      </c>
      <c r="D272" s="18">
        <f>D265+D258+D251+D244+D237+D230+D223+D216+D209+D202+D195+D188+D181</f>
        <v>13200300.8</v>
      </c>
      <c r="E272" s="18">
        <f>SUM(E273:E274)</f>
        <v>12935267</v>
      </c>
      <c r="F272" s="25">
        <f>E272*100/D272</f>
        <v>97.99221393500366</v>
      </c>
    </row>
    <row r="273" spans="1:6" ht="12.75">
      <c r="A273" s="108"/>
      <c r="B273" s="108"/>
      <c r="C273" s="82" t="s">
        <v>6</v>
      </c>
      <c r="D273" s="18">
        <f>D182+D189+D196+D203+D210+D217+D224+D231+D238+D245+D252+D259+D266</f>
        <v>0</v>
      </c>
      <c r="E273" s="18">
        <f>E182</f>
        <v>0</v>
      </c>
      <c r="F273" s="25"/>
    </row>
    <row r="274" spans="1:7" ht="12.75">
      <c r="A274" s="108"/>
      <c r="B274" s="108"/>
      <c r="C274" s="57" t="s">
        <v>7</v>
      </c>
      <c r="D274" s="18">
        <f>D275+D276+D277+D278</f>
        <v>13200300.8</v>
      </c>
      <c r="E274" s="18">
        <f>E183+E197+E204+E211+E225+E232+E239+E246+E253+E260+E267+E218+E190</f>
        <v>12935267</v>
      </c>
      <c r="F274" s="25">
        <f aca="true" t="shared" si="5" ref="F274:F293">E274*100/D274</f>
        <v>97.99221393500366</v>
      </c>
      <c r="G274" s="7"/>
    </row>
    <row r="275" spans="1:6" ht="12.75">
      <c r="A275" s="108"/>
      <c r="B275" s="108"/>
      <c r="C275" s="2" t="s">
        <v>93</v>
      </c>
      <c r="D275" s="18">
        <f>D184+D191+D198+D205+D212+D219+D226+D233+D240+D247+D254+D261+D268</f>
        <v>7588699</v>
      </c>
      <c r="E275" s="18">
        <f>E184+E198+E205+E212+E226+E233+E240+E247+E254+E261+E268</f>
        <v>8182550</v>
      </c>
      <c r="F275" s="25">
        <f t="shared" si="5"/>
        <v>107.82546520819972</v>
      </c>
    </row>
    <row r="276" spans="1:6" ht="12.75">
      <c r="A276" s="108"/>
      <c r="B276" s="108"/>
      <c r="C276" s="83" t="s">
        <v>10</v>
      </c>
      <c r="D276" s="18">
        <f>D185+D192+D199+D206+D213+D220+D227+D234+D241+D248+D255+D262+D269</f>
        <v>1422780.8</v>
      </c>
      <c r="E276" s="18">
        <f>E185+E199+E206+E213+E227+E234+E241+E248+E255+E262+E269</f>
        <v>1416450</v>
      </c>
      <c r="F276" s="25">
        <f t="shared" si="5"/>
        <v>99.55504038288962</v>
      </c>
    </row>
    <row r="277" spans="1:6" ht="12.75">
      <c r="A277" s="108"/>
      <c r="B277" s="108"/>
      <c r="C277" s="83" t="s">
        <v>8</v>
      </c>
      <c r="D277" s="18">
        <f>D186+D193+D200+D207+D214+D221+D228+D235+D242+D249+D256+D263+D270</f>
        <v>3788821</v>
      </c>
      <c r="E277" s="18">
        <f>E186+E200+E207+E214+E228+E235+E242+E249+E256+E263+E270</f>
        <v>2545994</v>
      </c>
      <c r="F277" s="25">
        <f t="shared" si="5"/>
        <v>67.19752661843883</v>
      </c>
    </row>
    <row r="278" spans="1:6" ht="12.75" customHeight="1">
      <c r="A278" s="109"/>
      <c r="B278" s="109"/>
      <c r="C278" s="81" t="s">
        <v>9</v>
      </c>
      <c r="D278" s="18">
        <f>D187+D194+D201+D208+D215+D222+D229+D236+D243+D250+D257+D264+D271</f>
        <v>400000</v>
      </c>
      <c r="E278" s="18">
        <f>E187+E201+E208+E215+E229+E236+E243+E250+E257+E264+E271</f>
        <v>470000</v>
      </c>
      <c r="F278" s="25">
        <f t="shared" si="5"/>
        <v>117.5</v>
      </c>
    </row>
    <row r="279" spans="1:6" ht="20.25" customHeight="1">
      <c r="A279" s="61">
        <v>851</v>
      </c>
      <c r="B279" s="5"/>
      <c r="C279" s="5" t="s">
        <v>48</v>
      </c>
      <c r="D279" s="10">
        <f>D280+D287+D294+D301</f>
        <v>1496869</v>
      </c>
      <c r="E279" s="10">
        <f>E280+E287+E294</f>
        <v>2240164</v>
      </c>
      <c r="F279" s="25">
        <f t="shared" si="5"/>
        <v>149.65664998072643</v>
      </c>
    </row>
    <row r="280" spans="1:6" ht="20.25" customHeight="1">
      <c r="A280" s="102"/>
      <c r="B280" s="55">
        <v>85111</v>
      </c>
      <c r="C280" s="59" t="s">
        <v>95</v>
      </c>
      <c r="D280" s="10">
        <f>D281+D282</f>
        <v>495203</v>
      </c>
      <c r="E280" s="10">
        <f>E282</f>
        <v>1338664</v>
      </c>
      <c r="F280" s="25">
        <f t="shared" si="5"/>
        <v>270.32631062412787</v>
      </c>
    </row>
    <row r="281" spans="1:6" ht="12" customHeight="1">
      <c r="A281" s="103"/>
      <c r="B281" s="107"/>
      <c r="C281" s="44" t="s">
        <v>6</v>
      </c>
      <c r="D281" s="14">
        <f>425286+27000</f>
        <v>452286</v>
      </c>
      <c r="E281" s="11"/>
      <c r="F281" s="25">
        <f t="shared" si="5"/>
        <v>0</v>
      </c>
    </row>
    <row r="282" spans="1:6" ht="12" customHeight="1">
      <c r="A282" s="103"/>
      <c r="B282" s="108"/>
      <c r="C282" s="44" t="s">
        <v>7</v>
      </c>
      <c r="D282" s="11">
        <f>SUM(D283:D286)</f>
        <v>42917</v>
      </c>
      <c r="E282" s="11">
        <v>1338664</v>
      </c>
      <c r="F282" s="25">
        <f t="shared" si="5"/>
        <v>3119.1928606379756</v>
      </c>
    </row>
    <row r="283" spans="1:6" ht="12.75" customHeight="1">
      <c r="A283" s="103"/>
      <c r="B283" s="108"/>
      <c r="C283" s="6" t="s">
        <v>91</v>
      </c>
      <c r="D283" s="11"/>
      <c r="E283" s="11"/>
      <c r="F283" s="25"/>
    </row>
    <row r="284" spans="1:6" ht="14.25" customHeight="1">
      <c r="A284" s="103"/>
      <c r="B284" s="108"/>
      <c r="C284" s="6" t="s">
        <v>92</v>
      </c>
      <c r="D284" s="11"/>
      <c r="E284" s="11"/>
      <c r="F284" s="25"/>
    </row>
    <row r="285" spans="1:6" ht="12.75" customHeight="1">
      <c r="A285" s="103"/>
      <c r="B285" s="108"/>
      <c r="C285" s="6" t="s">
        <v>8</v>
      </c>
      <c r="D285" s="11">
        <f>42917</f>
        <v>42917</v>
      </c>
      <c r="E285" s="11">
        <v>1338664</v>
      </c>
      <c r="F285" s="25">
        <f t="shared" si="5"/>
        <v>3119.1928606379756</v>
      </c>
    </row>
    <row r="286" spans="1:6" ht="12.75" customHeight="1">
      <c r="A286" s="103"/>
      <c r="B286" s="109"/>
      <c r="C286" s="74" t="s">
        <v>9</v>
      </c>
      <c r="D286" s="13"/>
      <c r="E286" s="13"/>
      <c r="F286" s="25"/>
    </row>
    <row r="287" spans="1:6" ht="12.75" customHeight="1">
      <c r="A287" s="103"/>
      <c r="B287" s="5">
        <v>85153</v>
      </c>
      <c r="C287" s="59" t="s">
        <v>98</v>
      </c>
      <c r="D287" s="10">
        <f>D288+D289</f>
        <v>2000</v>
      </c>
      <c r="E287" s="10">
        <f>E289</f>
        <v>2500</v>
      </c>
      <c r="F287" s="25">
        <f t="shared" si="5"/>
        <v>125</v>
      </c>
    </row>
    <row r="288" spans="1:6" ht="12.75" customHeight="1">
      <c r="A288" s="103"/>
      <c r="B288" s="110"/>
      <c r="C288" s="44" t="s">
        <v>6</v>
      </c>
      <c r="D288" s="11"/>
      <c r="E288" s="11"/>
      <c r="F288" s="25"/>
    </row>
    <row r="289" spans="1:6" ht="12.75" customHeight="1">
      <c r="A289" s="103"/>
      <c r="B289" s="110"/>
      <c r="C289" s="44" t="s">
        <v>7</v>
      </c>
      <c r="D289" s="11">
        <f>D290+D291+D292+D293</f>
        <v>2000</v>
      </c>
      <c r="E289" s="11">
        <f>E290+E291+E292+E293</f>
        <v>2500</v>
      </c>
      <c r="F289" s="25">
        <f t="shared" si="5"/>
        <v>125</v>
      </c>
    </row>
    <row r="290" spans="1:6" ht="12.75" customHeight="1">
      <c r="A290" s="103"/>
      <c r="B290" s="110"/>
      <c r="C290" s="6" t="s">
        <v>91</v>
      </c>
      <c r="D290" s="11"/>
      <c r="E290" s="11"/>
      <c r="F290" s="25"/>
    </row>
    <row r="291" spans="1:6" ht="12.75" customHeight="1">
      <c r="A291" s="103"/>
      <c r="B291" s="110"/>
      <c r="C291" s="6" t="s">
        <v>92</v>
      </c>
      <c r="D291" s="11"/>
      <c r="E291" s="11"/>
      <c r="F291" s="25"/>
    </row>
    <row r="292" spans="1:6" ht="12.75" customHeight="1">
      <c r="A292" s="103"/>
      <c r="B292" s="110"/>
      <c r="C292" s="6" t="s">
        <v>8</v>
      </c>
      <c r="D292" s="11"/>
      <c r="E292" s="11"/>
      <c r="F292" s="25"/>
    </row>
    <row r="293" spans="1:7" ht="12.75" customHeight="1">
      <c r="A293" s="103"/>
      <c r="B293" s="110"/>
      <c r="C293" s="6" t="s">
        <v>9</v>
      </c>
      <c r="D293" s="11">
        <f>2000</f>
        <v>2000</v>
      </c>
      <c r="E293" s="11">
        <v>2500</v>
      </c>
      <c r="F293" s="25">
        <f t="shared" si="5"/>
        <v>125</v>
      </c>
      <c r="G293" s="105"/>
    </row>
    <row r="294" spans="1:6" ht="51">
      <c r="A294" s="102"/>
      <c r="B294" s="5">
        <v>85156</v>
      </c>
      <c r="C294" s="59" t="s">
        <v>49</v>
      </c>
      <c r="D294" s="10">
        <f>D296</f>
        <v>839666</v>
      </c>
      <c r="E294" s="10">
        <f>E296</f>
        <v>899000</v>
      </c>
      <c r="F294" s="25">
        <f>E294*100/D294</f>
        <v>107.06638115631692</v>
      </c>
    </row>
    <row r="295" spans="1:6" ht="12.75">
      <c r="A295" s="103"/>
      <c r="B295" s="107"/>
      <c r="C295" s="44" t="s">
        <v>6</v>
      </c>
      <c r="D295" s="14"/>
      <c r="E295" s="11"/>
      <c r="F295" s="45"/>
    </row>
    <row r="296" spans="1:6" ht="12.75">
      <c r="A296" s="103"/>
      <c r="B296" s="108"/>
      <c r="C296" s="44" t="s">
        <v>7</v>
      </c>
      <c r="D296" s="11">
        <f>SUM(D297:D300)</f>
        <v>839666</v>
      </c>
      <c r="E296" s="11">
        <v>899000</v>
      </c>
      <c r="F296" s="45">
        <f>E296*100/D296</f>
        <v>107.06638115631692</v>
      </c>
    </row>
    <row r="297" spans="1:6" ht="12.75">
      <c r="A297" s="103"/>
      <c r="B297" s="108"/>
      <c r="C297" s="6" t="s">
        <v>91</v>
      </c>
      <c r="D297" s="11"/>
      <c r="E297" s="11"/>
      <c r="F297" s="45"/>
    </row>
    <row r="298" spans="1:6" ht="12.75">
      <c r="A298" s="103"/>
      <c r="B298" s="108"/>
      <c r="C298" s="6" t="s">
        <v>92</v>
      </c>
      <c r="D298" s="11"/>
      <c r="E298" s="11"/>
      <c r="F298" s="45"/>
    </row>
    <row r="299" spans="1:6" ht="12.75">
      <c r="A299" s="103"/>
      <c r="B299" s="108"/>
      <c r="C299" s="6" t="s">
        <v>8</v>
      </c>
      <c r="D299" s="11">
        <f>838000</f>
        <v>838000</v>
      </c>
      <c r="E299" s="11">
        <v>899000</v>
      </c>
      <c r="F299" s="45">
        <f>E299*100/D299</f>
        <v>107.27923627684964</v>
      </c>
    </row>
    <row r="300" spans="1:6" ht="12.75">
      <c r="A300" s="103"/>
      <c r="B300" s="109"/>
      <c r="C300" s="74" t="s">
        <v>9</v>
      </c>
      <c r="D300" s="13">
        <f>1666</f>
        <v>1666</v>
      </c>
      <c r="E300" s="11"/>
      <c r="F300" s="45"/>
    </row>
    <row r="301" spans="1:6" ht="12.75">
      <c r="A301" s="103"/>
      <c r="B301" s="5">
        <v>85195</v>
      </c>
      <c r="C301" s="59" t="s">
        <v>19</v>
      </c>
      <c r="D301" s="10">
        <f>D302+D303</f>
        <v>160000</v>
      </c>
      <c r="E301" s="10">
        <f>E303</f>
        <v>0</v>
      </c>
      <c r="F301" s="25">
        <f>E301*100/D301</f>
        <v>0</v>
      </c>
    </row>
    <row r="302" spans="1:6" ht="12.75">
      <c r="A302" s="103"/>
      <c r="B302" s="107"/>
      <c r="C302" s="44" t="s">
        <v>6</v>
      </c>
      <c r="D302" s="14">
        <f>160000</f>
        <v>160000</v>
      </c>
      <c r="E302" s="11"/>
      <c r="F302" s="45"/>
    </row>
    <row r="303" spans="1:6" ht="12.75">
      <c r="A303" s="103"/>
      <c r="B303" s="108"/>
      <c r="C303" s="44" t="s">
        <v>7</v>
      </c>
      <c r="D303" s="11">
        <f>SUM(D304:D307)</f>
        <v>0</v>
      </c>
      <c r="E303" s="11"/>
      <c r="F303" s="45"/>
    </row>
    <row r="304" spans="1:6" ht="11.25" customHeight="1">
      <c r="A304" s="103"/>
      <c r="B304" s="108"/>
      <c r="C304" s="6" t="s">
        <v>91</v>
      </c>
      <c r="D304" s="11"/>
      <c r="E304" s="11"/>
      <c r="F304" s="45"/>
    </row>
    <row r="305" spans="1:6" ht="11.25" customHeight="1">
      <c r="A305" s="103"/>
      <c r="B305" s="108"/>
      <c r="C305" s="6" t="s">
        <v>92</v>
      </c>
      <c r="D305" s="11"/>
      <c r="E305" s="11"/>
      <c r="F305" s="45"/>
    </row>
    <row r="306" spans="1:6" ht="12.75">
      <c r="A306" s="103"/>
      <c r="B306" s="108"/>
      <c r="C306" s="6" t="s">
        <v>8</v>
      </c>
      <c r="D306" s="11"/>
      <c r="E306" s="11"/>
      <c r="F306" s="45"/>
    </row>
    <row r="307" spans="1:6" ht="12.75">
      <c r="A307" s="104"/>
      <c r="B307" s="109"/>
      <c r="C307" s="74" t="s">
        <v>9</v>
      </c>
      <c r="D307" s="13"/>
      <c r="E307" s="11"/>
      <c r="F307" s="45"/>
    </row>
    <row r="308" spans="1:6" ht="22.5" customHeight="1">
      <c r="A308" s="5">
        <v>852</v>
      </c>
      <c r="B308" s="5"/>
      <c r="C308" s="5" t="s">
        <v>50</v>
      </c>
      <c r="D308" s="10">
        <f>D309+D316+D323+D330</f>
        <v>5193274</v>
      </c>
      <c r="E308" s="10">
        <f>SUM(E309+E316+E323+E330)</f>
        <v>5383342</v>
      </c>
      <c r="F308" s="25">
        <f>E308*100/D308</f>
        <v>103.65988777021971</v>
      </c>
    </row>
    <row r="309" spans="1:6" ht="25.5">
      <c r="A309" s="107"/>
      <c r="B309" s="24">
        <v>85201</v>
      </c>
      <c r="C309" s="59" t="s">
        <v>51</v>
      </c>
      <c r="D309" s="10">
        <f>D311</f>
        <v>3706151</v>
      </c>
      <c r="E309" s="10">
        <f>E311</f>
        <v>3933692</v>
      </c>
      <c r="F309" s="25">
        <f>E309*100/D309</f>
        <v>106.13955016943454</v>
      </c>
    </row>
    <row r="310" spans="1:6" ht="12.75">
      <c r="A310" s="108"/>
      <c r="B310" s="107"/>
      <c r="C310" s="20" t="s">
        <v>6</v>
      </c>
      <c r="D310" s="14"/>
      <c r="E310" s="11"/>
      <c r="F310" s="25"/>
    </row>
    <row r="311" spans="1:7" ht="12.75">
      <c r="A311" s="108"/>
      <c r="B311" s="108"/>
      <c r="C311" s="49" t="s">
        <v>7</v>
      </c>
      <c r="D311" s="11">
        <f>SUM(D312:D315)</f>
        <v>3706151</v>
      </c>
      <c r="E311" s="11">
        <f>E312+E313+E314+E315</f>
        <v>3933692</v>
      </c>
      <c r="F311" s="45">
        <f aca="true" t="shared" si="6" ref="F311:F316">E311*100/D311</f>
        <v>106.13955016943454</v>
      </c>
      <c r="G311" s="7"/>
    </row>
    <row r="312" spans="1:6" ht="12.75">
      <c r="A312" s="108"/>
      <c r="B312" s="108"/>
      <c r="C312" s="47" t="s">
        <v>91</v>
      </c>
      <c r="D312" s="11">
        <f>926880+60891</f>
        <v>987771</v>
      </c>
      <c r="E312" s="11">
        <v>1040506</v>
      </c>
      <c r="F312" s="45">
        <f t="shared" si="6"/>
        <v>105.33878803892806</v>
      </c>
    </row>
    <row r="313" spans="1:6" ht="12.75">
      <c r="A313" s="108"/>
      <c r="B313" s="108"/>
      <c r="C313" s="47" t="s">
        <v>92</v>
      </c>
      <c r="D313" s="11">
        <f>156977+25052</f>
        <v>182029</v>
      </c>
      <c r="E313" s="11">
        <v>192645</v>
      </c>
      <c r="F313" s="45">
        <f t="shared" si="6"/>
        <v>105.8320377522263</v>
      </c>
    </row>
    <row r="314" spans="1:6" ht="12.75">
      <c r="A314" s="108"/>
      <c r="B314" s="108"/>
      <c r="C314" s="48" t="s">
        <v>8</v>
      </c>
      <c r="D314" s="11">
        <f>38529+235385+16850+72000+64000+8000+6000+152868+18000+2000+63820+1930+20550+6200+4000+41179+1040+2000+2000</f>
        <v>756351</v>
      </c>
      <c r="E314" s="11">
        <v>800541</v>
      </c>
      <c r="F314" s="45">
        <f t="shared" si="6"/>
        <v>105.84252549411583</v>
      </c>
    </row>
    <row r="315" spans="1:6" ht="12.75">
      <c r="A315" s="108"/>
      <c r="B315" s="109"/>
      <c r="C315" s="74" t="s">
        <v>9</v>
      </c>
      <c r="D315" s="13">
        <f>30000+1750000</f>
        <v>1780000</v>
      </c>
      <c r="E315" s="11">
        <v>1900000</v>
      </c>
      <c r="F315" s="45">
        <f t="shared" si="6"/>
        <v>106.74157303370787</v>
      </c>
    </row>
    <row r="316" spans="1:6" ht="12.75">
      <c r="A316" s="108"/>
      <c r="B316" s="24">
        <v>85203</v>
      </c>
      <c r="C316" s="5" t="s">
        <v>52</v>
      </c>
      <c r="D316" s="10">
        <f>D318</f>
        <v>321000</v>
      </c>
      <c r="E316" s="10">
        <f>E318</f>
        <v>328000</v>
      </c>
      <c r="F316" s="25">
        <f t="shared" si="6"/>
        <v>102.18068535825545</v>
      </c>
    </row>
    <row r="317" spans="1:6" ht="12.75">
      <c r="A317" s="108"/>
      <c r="B317" s="107"/>
      <c r="C317" s="20" t="s">
        <v>6</v>
      </c>
      <c r="D317" s="14"/>
      <c r="E317" s="11"/>
      <c r="F317" s="25"/>
    </row>
    <row r="318" spans="1:6" ht="12.75">
      <c r="A318" s="108"/>
      <c r="B318" s="108"/>
      <c r="C318" s="49" t="s">
        <v>7</v>
      </c>
      <c r="D318" s="11">
        <f>SUM(D319:D322)</f>
        <v>321000</v>
      </c>
      <c r="E318" s="11">
        <f>E319+E320+E321</f>
        <v>328000</v>
      </c>
      <c r="F318" s="45">
        <f aca="true" t="shared" si="7" ref="F318:F323">E318*100/D318</f>
        <v>102.18068535825545</v>
      </c>
    </row>
    <row r="319" spans="1:6" ht="12.75">
      <c r="A319" s="108"/>
      <c r="B319" s="108"/>
      <c r="C319" s="47" t="s">
        <v>91</v>
      </c>
      <c r="D319" s="11">
        <f>121300+7429</f>
        <v>128729</v>
      </c>
      <c r="E319" s="11">
        <v>125400</v>
      </c>
      <c r="F319" s="45">
        <f t="shared" si="7"/>
        <v>97.4139471292405</v>
      </c>
    </row>
    <row r="320" spans="1:6" ht="12.75">
      <c r="A320" s="108"/>
      <c r="B320" s="108"/>
      <c r="C320" s="47" t="s">
        <v>92</v>
      </c>
      <c r="D320" s="11">
        <f>18100+3000</f>
        <v>21100</v>
      </c>
      <c r="E320" s="11">
        <v>23500</v>
      </c>
      <c r="F320" s="45">
        <f t="shared" si="7"/>
        <v>111.37440758293839</v>
      </c>
    </row>
    <row r="321" spans="1:6" ht="12.75">
      <c r="A321" s="108"/>
      <c r="B321" s="108"/>
      <c r="C321" s="48" t="s">
        <v>8</v>
      </c>
      <c r="D321" s="11">
        <f>16000+20000+15000+3260+20000+47000+1000+29000+4000+2500+5220+2000+891+300+5000</f>
        <v>171171</v>
      </c>
      <c r="E321" s="11">
        <v>179100</v>
      </c>
      <c r="F321" s="45">
        <f t="shared" si="7"/>
        <v>104.6322098953678</v>
      </c>
    </row>
    <row r="322" spans="1:6" ht="12.75">
      <c r="A322" s="108"/>
      <c r="B322" s="109"/>
      <c r="C322" s="74" t="s">
        <v>9</v>
      </c>
      <c r="D322" s="13"/>
      <c r="E322" s="10"/>
      <c r="F322" s="45"/>
    </row>
    <row r="323" spans="1:6" ht="12.75">
      <c r="A323" s="108"/>
      <c r="B323" s="24">
        <v>85204</v>
      </c>
      <c r="C323" s="5" t="s">
        <v>53</v>
      </c>
      <c r="D323" s="10">
        <f>D325</f>
        <v>842610</v>
      </c>
      <c r="E323" s="10">
        <f>E325</f>
        <v>896050</v>
      </c>
      <c r="F323" s="25">
        <f t="shared" si="7"/>
        <v>106.34219864468734</v>
      </c>
    </row>
    <row r="324" spans="1:6" ht="12.75">
      <c r="A324" s="108"/>
      <c r="B324" s="107"/>
      <c r="C324" s="20" t="s">
        <v>6</v>
      </c>
      <c r="D324" s="11"/>
      <c r="E324" s="11"/>
      <c r="F324" s="45"/>
    </row>
    <row r="325" spans="1:6" ht="12.75">
      <c r="A325" s="108"/>
      <c r="B325" s="108"/>
      <c r="C325" s="49" t="s">
        <v>7</v>
      </c>
      <c r="D325" s="11">
        <f>SUM(D326:D329)</f>
        <v>842610</v>
      </c>
      <c r="E325" s="11">
        <f>SUM(E326:E329)</f>
        <v>896050</v>
      </c>
      <c r="F325" s="45">
        <f>E325*100/D325</f>
        <v>106.34219864468734</v>
      </c>
    </row>
    <row r="326" spans="1:6" ht="12.75">
      <c r="A326" s="108"/>
      <c r="B326" s="108"/>
      <c r="C326" s="47" t="s">
        <v>91</v>
      </c>
      <c r="D326" s="11"/>
      <c r="E326" s="11"/>
      <c r="F326" s="45"/>
    </row>
    <row r="327" spans="1:6" ht="12.75">
      <c r="A327" s="108"/>
      <c r="B327" s="108"/>
      <c r="C327" s="47" t="s">
        <v>92</v>
      </c>
      <c r="D327" s="11">
        <f>2250+360</f>
        <v>2610</v>
      </c>
      <c r="E327" s="11">
        <v>5050</v>
      </c>
      <c r="F327" s="45"/>
    </row>
    <row r="328" spans="1:6" ht="12.75">
      <c r="A328" s="108"/>
      <c r="B328" s="108"/>
      <c r="C328" s="48" t="s">
        <v>8</v>
      </c>
      <c r="D328" s="11">
        <f>726165+13835</f>
        <v>740000</v>
      </c>
      <c r="E328" s="11">
        <v>791000</v>
      </c>
      <c r="F328" s="45">
        <f>E328*100/D328</f>
        <v>106.89189189189189</v>
      </c>
    </row>
    <row r="329" spans="1:6" ht="12.75">
      <c r="A329" s="108"/>
      <c r="B329" s="109"/>
      <c r="C329" s="74" t="s">
        <v>9</v>
      </c>
      <c r="D329" s="11">
        <v>100000</v>
      </c>
      <c r="E329" s="11">
        <v>100000</v>
      </c>
      <c r="F329" s="45">
        <f>E329*100/D329</f>
        <v>100</v>
      </c>
    </row>
    <row r="330" spans="1:6" ht="25.5">
      <c r="A330" s="108"/>
      <c r="B330" s="24">
        <v>85218</v>
      </c>
      <c r="C330" s="59" t="s">
        <v>54</v>
      </c>
      <c r="D330" s="10">
        <f>D331+D332</f>
        <v>323513</v>
      </c>
      <c r="E330" s="10">
        <f>E331+E332</f>
        <v>225600</v>
      </c>
      <c r="F330" s="25">
        <f>E330*100/D330</f>
        <v>69.73444652919666</v>
      </c>
    </row>
    <row r="331" spans="1:6" ht="12.75">
      <c r="A331" s="108"/>
      <c r="B331" s="107"/>
      <c r="C331" s="20" t="s">
        <v>6</v>
      </c>
      <c r="D331" s="14"/>
      <c r="E331" s="11"/>
      <c r="F331" s="25"/>
    </row>
    <row r="332" spans="1:6" ht="12.75">
      <c r="A332" s="108"/>
      <c r="B332" s="108"/>
      <c r="C332" s="49" t="s">
        <v>7</v>
      </c>
      <c r="D332" s="11">
        <f>SUM(D333:D336)</f>
        <v>323513</v>
      </c>
      <c r="E332" s="11">
        <f>E333+E334+E335</f>
        <v>225600</v>
      </c>
      <c r="F332" s="25">
        <f>E332*100/D332</f>
        <v>69.73444652919666</v>
      </c>
    </row>
    <row r="333" spans="1:6" ht="12.75">
      <c r="A333" s="108"/>
      <c r="B333" s="108"/>
      <c r="C333" s="47" t="s">
        <v>91</v>
      </c>
      <c r="D333" s="11">
        <f>121800+28214+1636+8428</f>
        <v>160078</v>
      </c>
      <c r="E333" s="11">
        <v>150000</v>
      </c>
      <c r="F333" s="25">
        <f>E333*100/D333</f>
        <v>93.7043191444171</v>
      </c>
    </row>
    <row r="334" spans="1:6" ht="12.75">
      <c r="A334" s="108"/>
      <c r="B334" s="108"/>
      <c r="C334" s="47" t="s">
        <v>92</v>
      </c>
      <c r="D334" s="11">
        <f>20200+3832+222+3200</f>
        <v>27454</v>
      </c>
      <c r="E334" s="11">
        <v>26600</v>
      </c>
      <c r="F334" s="25">
        <f>E334*100/D334</f>
        <v>96.88934217236104</v>
      </c>
    </row>
    <row r="335" spans="1:6" ht="12.75">
      <c r="A335" s="108"/>
      <c r="B335" s="108"/>
      <c r="C335" s="48" t="s">
        <v>8</v>
      </c>
      <c r="D335" s="11">
        <f>614+36+3000+31003+1797+2800+6285+565+1484+86+12500+572+15123+877+11000+26068+1511+600+3400+5000+2420+140+200+4500+1800+1000+500+500+600</f>
        <v>135981</v>
      </c>
      <c r="E335" s="11">
        <v>49000</v>
      </c>
      <c r="F335" s="25">
        <f>E335*100/D335</f>
        <v>36.03444598877785</v>
      </c>
    </row>
    <row r="336" spans="1:6" ht="12.75">
      <c r="A336" s="109"/>
      <c r="B336" s="109"/>
      <c r="C336" s="6" t="s">
        <v>9</v>
      </c>
      <c r="D336" s="11"/>
      <c r="E336" s="11"/>
      <c r="F336" s="25"/>
    </row>
    <row r="337" spans="1:6" ht="42" customHeight="1">
      <c r="A337" s="5">
        <v>853</v>
      </c>
      <c r="B337" s="5"/>
      <c r="C337" s="59" t="s">
        <v>55</v>
      </c>
      <c r="D337" s="10">
        <f>D338+D345</f>
        <v>829035</v>
      </c>
      <c r="E337" s="10">
        <f>SUM(E338+E345)</f>
        <v>951946</v>
      </c>
      <c r="F337" s="25">
        <f>E337*100/D337</f>
        <v>114.82579143220732</v>
      </c>
    </row>
    <row r="338" spans="1:6" ht="25.5">
      <c r="A338" s="107"/>
      <c r="B338" s="24">
        <v>85321</v>
      </c>
      <c r="C338" s="59" t="s">
        <v>67</v>
      </c>
      <c r="D338" s="10">
        <f>D340</f>
        <v>117000</v>
      </c>
      <c r="E338" s="10">
        <f>E340</f>
        <v>141000</v>
      </c>
      <c r="F338" s="25">
        <f>E338*100/D338</f>
        <v>120.51282051282051</v>
      </c>
    </row>
    <row r="339" spans="1:6" ht="12.75">
      <c r="A339" s="108"/>
      <c r="B339" s="107"/>
      <c r="C339" s="20" t="s">
        <v>6</v>
      </c>
      <c r="D339" s="14"/>
      <c r="E339" s="11"/>
      <c r="F339" s="25"/>
    </row>
    <row r="340" spans="1:6" ht="12.75">
      <c r="A340" s="108"/>
      <c r="B340" s="108"/>
      <c r="C340" s="49" t="s">
        <v>7</v>
      </c>
      <c r="D340" s="11">
        <f>SUM(D341:D344)</f>
        <v>117000</v>
      </c>
      <c r="E340" s="11">
        <f>E341+E342+E343</f>
        <v>141000</v>
      </c>
      <c r="F340" s="45">
        <f>E340*100/D340</f>
        <v>120.51282051282051</v>
      </c>
    </row>
    <row r="341" spans="1:6" ht="12.75">
      <c r="A341" s="108"/>
      <c r="B341" s="108"/>
      <c r="C341" s="47" t="s">
        <v>91</v>
      </c>
      <c r="D341" s="11">
        <f>37200+1350</f>
        <v>38550</v>
      </c>
      <c r="E341" s="11">
        <v>42400</v>
      </c>
      <c r="F341" s="45">
        <f>E341*100/D341</f>
        <v>109.9870298313878</v>
      </c>
    </row>
    <row r="342" spans="1:6" ht="12.75">
      <c r="A342" s="108"/>
      <c r="B342" s="108"/>
      <c r="C342" s="47" t="s">
        <v>92</v>
      </c>
      <c r="D342" s="11">
        <f>7500+1400</f>
        <v>8900</v>
      </c>
      <c r="E342" s="11">
        <v>6500</v>
      </c>
      <c r="F342" s="45">
        <f>E342*100/D342</f>
        <v>73.03370786516854</v>
      </c>
    </row>
    <row r="343" spans="1:6" ht="12.75">
      <c r="A343" s="108"/>
      <c r="B343" s="108"/>
      <c r="C343" s="48" t="s">
        <v>8</v>
      </c>
      <c r="D343" s="11">
        <f>25000+5500+6000+25000+400+2000+1740+500+1410+2000</f>
        <v>69550</v>
      </c>
      <c r="E343" s="11">
        <v>92100</v>
      </c>
      <c r="F343" s="45">
        <f>E343*100/D343</f>
        <v>132.42271746944644</v>
      </c>
    </row>
    <row r="344" spans="1:6" ht="12.75">
      <c r="A344" s="108"/>
      <c r="B344" s="109"/>
      <c r="C344" s="74" t="s">
        <v>9</v>
      </c>
      <c r="D344" s="13"/>
      <c r="E344" s="11"/>
      <c r="F344" s="45"/>
    </row>
    <row r="345" spans="1:6" ht="12.75">
      <c r="A345" s="108"/>
      <c r="B345" s="5">
        <v>85333</v>
      </c>
      <c r="C345" s="5" t="s">
        <v>56</v>
      </c>
      <c r="D345" s="10">
        <f>D347</f>
        <v>712035</v>
      </c>
      <c r="E345" s="10">
        <f>E347</f>
        <v>810946</v>
      </c>
      <c r="F345" s="25">
        <f>E345*100/D345</f>
        <v>113.89131152260774</v>
      </c>
    </row>
    <row r="346" spans="1:6" ht="12.75">
      <c r="A346" s="108"/>
      <c r="B346" s="107"/>
      <c r="C346" s="20" t="s">
        <v>6</v>
      </c>
      <c r="D346" s="11"/>
      <c r="E346" s="11"/>
      <c r="F346" s="45"/>
    </row>
    <row r="347" spans="1:6" ht="12.75">
      <c r="A347" s="108"/>
      <c r="B347" s="108"/>
      <c r="C347" s="49" t="s">
        <v>7</v>
      </c>
      <c r="D347" s="11">
        <f>SUM(D348:D351)</f>
        <v>712035</v>
      </c>
      <c r="E347" s="11">
        <f>E348+E349+E350</f>
        <v>810946</v>
      </c>
      <c r="F347" s="45">
        <f>E347*100/D347</f>
        <v>113.89131152260774</v>
      </c>
    </row>
    <row r="348" spans="1:6" ht="12.75">
      <c r="A348" s="108"/>
      <c r="B348" s="108"/>
      <c r="C348" s="47" t="s">
        <v>91</v>
      </c>
      <c r="D348" s="11">
        <f>510697+39138</f>
        <v>549835</v>
      </c>
      <c r="E348" s="11">
        <v>630000</v>
      </c>
      <c r="F348" s="45">
        <f>E348*100/D348</f>
        <v>114.57982849400274</v>
      </c>
    </row>
    <row r="349" spans="1:6" ht="12.75">
      <c r="A349" s="108"/>
      <c r="B349" s="108"/>
      <c r="C349" s="47" t="s">
        <v>92</v>
      </c>
      <c r="D349" s="11">
        <f>85270+14397</f>
        <v>99667</v>
      </c>
      <c r="E349" s="11">
        <v>117993</v>
      </c>
      <c r="F349" s="45">
        <f>E349*100/D349</f>
        <v>118.38722947414891</v>
      </c>
    </row>
    <row r="350" spans="1:6" ht="12.75">
      <c r="A350" s="108"/>
      <c r="B350" s="108"/>
      <c r="C350" s="48" t="s">
        <v>8</v>
      </c>
      <c r="D350" s="11">
        <f>4200+3500+6345+850+18375+1500+1100+3500+1100+21563+500</f>
        <v>62533</v>
      </c>
      <c r="E350" s="11">
        <v>62953</v>
      </c>
      <c r="F350" s="45">
        <f>E350*100/D350</f>
        <v>100.67164537124398</v>
      </c>
    </row>
    <row r="351" spans="1:7" ht="12.75">
      <c r="A351" s="109"/>
      <c r="B351" s="109"/>
      <c r="C351" s="6" t="s">
        <v>9</v>
      </c>
      <c r="D351" s="11"/>
      <c r="E351" s="11"/>
      <c r="F351" s="25"/>
      <c r="G351" s="33"/>
    </row>
    <row r="352" spans="1:7" ht="25.5">
      <c r="A352" s="5">
        <v>854</v>
      </c>
      <c r="B352" s="5"/>
      <c r="C352" s="59" t="s">
        <v>57</v>
      </c>
      <c r="D352" s="10">
        <f>D353+D360+D367+D374+D381+D388+D395</f>
        <v>3284111</v>
      </c>
      <c r="E352" s="10">
        <f>E353+E360+E367+E374+E381+E388+E395</f>
        <v>3658561</v>
      </c>
      <c r="F352" s="25">
        <f>E352*100/D352</f>
        <v>111.40186796365896</v>
      </c>
      <c r="G352" s="7"/>
    </row>
    <row r="353" spans="1:6" ht="25.5">
      <c r="A353" s="107"/>
      <c r="B353" s="24">
        <v>85406</v>
      </c>
      <c r="C353" s="59" t="s">
        <v>58</v>
      </c>
      <c r="D353" s="10">
        <f>D355</f>
        <v>625070</v>
      </c>
      <c r="E353" s="10">
        <f>E355</f>
        <v>745600</v>
      </c>
      <c r="F353" s="25">
        <f>E353*100/D353</f>
        <v>119.28264034428145</v>
      </c>
    </row>
    <row r="354" spans="1:6" ht="12.75">
      <c r="A354" s="108"/>
      <c r="B354" s="107"/>
      <c r="C354" s="20" t="s">
        <v>6</v>
      </c>
      <c r="D354" s="14"/>
      <c r="E354" s="11"/>
      <c r="F354" s="25"/>
    </row>
    <row r="355" spans="1:6" ht="12.75">
      <c r="A355" s="108"/>
      <c r="B355" s="108"/>
      <c r="C355" s="49" t="s">
        <v>7</v>
      </c>
      <c r="D355" s="11">
        <f>SUM(D356:D359)</f>
        <v>625070</v>
      </c>
      <c r="E355" s="11">
        <f>E356+E357+E358</f>
        <v>745600</v>
      </c>
      <c r="F355" s="45">
        <f>E355*100/D355</f>
        <v>119.28264034428145</v>
      </c>
    </row>
    <row r="356" spans="1:8" ht="12.75">
      <c r="A356" s="108"/>
      <c r="B356" s="108"/>
      <c r="C356" s="6" t="s">
        <v>91</v>
      </c>
      <c r="D356" s="11">
        <f>391563+32940</f>
        <v>424503</v>
      </c>
      <c r="E356" s="11">
        <v>490000</v>
      </c>
      <c r="F356" s="45">
        <f>E356*100/D356</f>
        <v>115.42910179668931</v>
      </c>
      <c r="H356" s="7"/>
    </row>
    <row r="357" spans="1:6" ht="12.75">
      <c r="A357" s="108"/>
      <c r="B357" s="108"/>
      <c r="C357" s="48" t="s">
        <v>10</v>
      </c>
      <c r="D357" s="11">
        <f>72280+10420</f>
        <v>82700</v>
      </c>
      <c r="E357" s="11">
        <v>94000</v>
      </c>
      <c r="F357" s="45">
        <f>E357*100/D357</f>
        <v>113.66384522370012</v>
      </c>
    </row>
    <row r="358" spans="1:6" ht="12.75">
      <c r="A358" s="108"/>
      <c r="B358" s="108"/>
      <c r="C358" s="48" t="s">
        <v>8</v>
      </c>
      <c r="D358" s="11">
        <f>1400+9600+3700+30000+700+23000+5600+2500+36667+1500+700+2500</f>
        <v>117867</v>
      </c>
      <c r="E358" s="11">
        <v>161600</v>
      </c>
      <c r="F358" s="45">
        <f>E358*100/D358</f>
        <v>137.10368466152528</v>
      </c>
    </row>
    <row r="359" spans="1:6" ht="12.75">
      <c r="A359" s="108"/>
      <c r="B359" s="109"/>
      <c r="C359" s="69" t="s">
        <v>9</v>
      </c>
      <c r="D359" s="13"/>
      <c r="E359" s="11"/>
      <c r="F359" s="25"/>
    </row>
    <row r="360" spans="1:6" ht="12.75">
      <c r="A360" s="108"/>
      <c r="B360" s="24">
        <v>85410</v>
      </c>
      <c r="C360" s="2" t="s">
        <v>59</v>
      </c>
      <c r="D360" s="10">
        <f>D362</f>
        <v>166136</v>
      </c>
      <c r="E360" s="10">
        <f>E362</f>
        <v>220750</v>
      </c>
      <c r="F360" s="25">
        <f>E360*100/D360</f>
        <v>132.87306784802811</v>
      </c>
    </row>
    <row r="361" spans="1:6" ht="12.75">
      <c r="A361" s="108"/>
      <c r="B361" s="107"/>
      <c r="C361" s="20" t="s">
        <v>6</v>
      </c>
      <c r="D361" s="14"/>
      <c r="E361" s="11"/>
      <c r="F361" s="25"/>
    </row>
    <row r="362" spans="1:6" ht="12.75">
      <c r="A362" s="108"/>
      <c r="B362" s="108"/>
      <c r="C362" s="44" t="s">
        <v>7</v>
      </c>
      <c r="D362" s="11">
        <f>SUM(D363:D366)</f>
        <v>166136</v>
      </c>
      <c r="E362" s="11">
        <f>E363+E364+E365</f>
        <v>220750</v>
      </c>
      <c r="F362" s="45">
        <f>E362*100/D362</f>
        <v>132.87306784802811</v>
      </c>
    </row>
    <row r="363" spans="1:6" ht="12.75">
      <c r="A363" s="108"/>
      <c r="B363" s="108"/>
      <c r="C363" s="6" t="s">
        <v>91</v>
      </c>
      <c r="D363" s="11">
        <f>104010+9300</f>
        <v>113310</v>
      </c>
      <c r="E363" s="11">
        <v>151650</v>
      </c>
      <c r="F363" s="45">
        <f>E363*100/D363</f>
        <v>133.83637807783956</v>
      </c>
    </row>
    <row r="364" spans="1:6" ht="12.75">
      <c r="A364" s="108"/>
      <c r="B364" s="108"/>
      <c r="C364" s="6" t="s">
        <v>10</v>
      </c>
      <c r="D364" s="11">
        <f>19400+2800</f>
        <v>22200</v>
      </c>
      <c r="E364" s="11">
        <v>26700</v>
      </c>
      <c r="F364" s="45">
        <f>E364*100/D364</f>
        <v>120.27027027027027</v>
      </c>
    </row>
    <row r="365" spans="1:6" ht="12.75">
      <c r="A365" s="108"/>
      <c r="B365" s="108"/>
      <c r="C365" s="6" t="s">
        <v>8</v>
      </c>
      <c r="D365" s="11">
        <f>700+3600+8000+6500+400+11426</f>
        <v>30626</v>
      </c>
      <c r="E365" s="11">
        <v>42400</v>
      </c>
      <c r="F365" s="45">
        <f>E365*100/D365</f>
        <v>138.44445895644225</v>
      </c>
    </row>
    <row r="366" spans="1:6" ht="12.75">
      <c r="A366" s="108"/>
      <c r="B366" s="109"/>
      <c r="C366" s="69" t="s">
        <v>9</v>
      </c>
      <c r="D366" s="13"/>
      <c r="E366" s="11"/>
      <c r="F366" s="25"/>
    </row>
    <row r="367" spans="1:6" ht="12.75">
      <c r="A367" s="108"/>
      <c r="B367" s="24">
        <v>85412</v>
      </c>
      <c r="C367" s="2" t="s">
        <v>60</v>
      </c>
      <c r="D367" s="10">
        <v>2000</v>
      </c>
      <c r="E367" s="10">
        <v>2000</v>
      </c>
      <c r="F367" s="25">
        <f>E367*100/D367</f>
        <v>100</v>
      </c>
    </row>
    <row r="368" spans="1:6" ht="12.75">
      <c r="A368" s="108"/>
      <c r="B368" s="107"/>
      <c r="C368" s="44" t="s">
        <v>6</v>
      </c>
      <c r="D368" s="14"/>
      <c r="E368" s="11"/>
      <c r="F368" s="25"/>
    </row>
    <row r="369" spans="1:6" ht="12.75">
      <c r="A369" s="108"/>
      <c r="B369" s="108"/>
      <c r="C369" s="44" t="s">
        <v>7</v>
      </c>
      <c r="D369" s="11">
        <f>SUM(D370:D373)</f>
        <v>2000</v>
      </c>
      <c r="E369" s="11">
        <v>2000</v>
      </c>
      <c r="F369" s="45">
        <f>E369*100/D369</f>
        <v>100</v>
      </c>
    </row>
    <row r="370" spans="1:6" ht="12.75">
      <c r="A370" s="108"/>
      <c r="B370" s="108"/>
      <c r="C370" s="6" t="s">
        <v>91</v>
      </c>
      <c r="D370" s="11"/>
      <c r="E370" s="11"/>
      <c r="F370" s="45"/>
    </row>
    <row r="371" spans="1:6" ht="12.75">
      <c r="A371" s="108"/>
      <c r="B371" s="108"/>
      <c r="C371" s="6" t="s">
        <v>10</v>
      </c>
      <c r="D371" s="11"/>
      <c r="E371" s="11"/>
      <c r="F371" s="45"/>
    </row>
    <row r="372" spans="1:6" ht="12.75">
      <c r="A372" s="108"/>
      <c r="B372" s="108"/>
      <c r="C372" s="6" t="s">
        <v>8</v>
      </c>
      <c r="D372" s="11"/>
      <c r="E372" s="11"/>
      <c r="F372" s="45"/>
    </row>
    <row r="373" spans="1:6" ht="12.75">
      <c r="A373" s="108"/>
      <c r="B373" s="109"/>
      <c r="C373" s="69" t="s">
        <v>9</v>
      </c>
      <c r="D373" s="13">
        <v>2000</v>
      </c>
      <c r="E373" s="13">
        <v>2000</v>
      </c>
      <c r="F373" s="85">
        <f>E373*100/D373</f>
        <v>100</v>
      </c>
    </row>
    <row r="374" spans="1:6" ht="12.75">
      <c r="A374" s="108"/>
      <c r="B374" s="24">
        <v>85415</v>
      </c>
      <c r="C374" s="2" t="s">
        <v>105</v>
      </c>
      <c r="D374" s="10">
        <f>D375+D376</f>
        <v>9400</v>
      </c>
      <c r="E374" s="10"/>
      <c r="F374" s="25">
        <f>E374*100/D374</f>
        <v>0</v>
      </c>
    </row>
    <row r="375" spans="1:6" ht="12.75">
      <c r="A375" s="108"/>
      <c r="B375" s="107"/>
      <c r="C375" s="44" t="s">
        <v>6</v>
      </c>
      <c r="D375" s="14"/>
      <c r="E375" s="11"/>
      <c r="F375" s="25"/>
    </row>
    <row r="376" spans="1:6" ht="12.75">
      <c r="A376" s="108"/>
      <c r="B376" s="108"/>
      <c r="C376" s="44" t="s">
        <v>7</v>
      </c>
      <c r="D376" s="11">
        <f>SUM(D377:D380)</f>
        <v>9400</v>
      </c>
      <c r="E376" s="11"/>
      <c r="F376" s="45">
        <f>E376*100/D376</f>
        <v>0</v>
      </c>
    </row>
    <row r="377" spans="1:6" ht="12.75">
      <c r="A377" s="108"/>
      <c r="B377" s="108"/>
      <c r="C377" s="6" t="s">
        <v>91</v>
      </c>
      <c r="D377" s="11"/>
      <c r="E377" s="11"/>
      <c r="F377" s="45"/>
    </row>
    <row r="378" spans="1:6" ht="12.75">
      <c r="A378" s="108"/>
      <c r="B378" s="108"/>
      <c r="C378" s="6" t="s">
        <v>10</v>
      </c>
      <c r="D378" s="11"/>
      <c r="E378" s="11"/>
      <c r="F378" s="45"/>
    </row>
    <row r="379" spans="1:6" ht="12.75">
      <c r="A379" s="108"/>
      <c r="B379" s="108"/>
      <c r="C379" s="6" t="s">
        <v>8</v>
      </c>
      <c r="D379" s="11">
        <v>9400</v>
      </c>
      <c r="E379" s="11"/>
      <c r="F379" s="45">
        <f>E379*100/D379</f>
        <v>0</v>
      </c>
    </row>
    <row r="380" spans="1:6" ht="12.75">
      <c r="A380" s="108"/>
      <c r="B380" s="109"/>
      <c r="C380" s="69" t="s">
        <v>9</v>
      </c>
      <c r="D380" s="13" t="s">
        <v>106</v>
      </c>
      <c r="E380" s="13"/>
      <c r="F380" s="45"/>
    </row>
    <row r="381" spans="1:6" ht="12.75">
      <c r="A381" s="108"/>
      <c r="B381" s="78">
        <v>85420</v>
      </c>
      <c r="C381" s="86" t="s">
        <v>78</v>
      </c>
      <c r="D381" s="22">
        <f>D382+D383</f>
        <v>1624815</v>
      </c>
      <c r="E381" s="22">
        <f>E383</f>
        <v>1682263</v>
      </c>
      <c r="F381" s="85">
        <f>E381*100/D381</f>
        <v>103.53566406021609</v>
      </c>
    </row>
    <row r="382" spans="1:6" ht="12.75">
      <c r="A382" s="108"/>
      <c r="B382" s="107"/>
      <c r="C382" s="69" t="s">
        <v>6</v>
      </c>
      <c r="D382" s="13"/>
      <c r="E382" s="13"/>
      <c r="F382" s="85"/>
    </row>
    <row r="383" spans="1:6" ht="12.75">
      <c r="A383" s="108"/>
      <c r="B383" s="108"/>
      <c r="C383" s="69" t="s">
        <v>7</v>
      </c>
      <c r="D383" s="13">
        <f>SUM(D384:D387)</f>
        <v>1624815</v>
      </c>
      <c r="E383" s="13">
        <f>E384+E385+E386</f>
        <v>1682263</v>
      </c>
      <c r="F383" s="85">
        <f>E383*100/D383</f>
        <v>103.53566406021609</v>
      </c>
    </row>
    <row r="384" spans="1:6" ht="12.75">
      <c r="A384" s="108"/>
      <c r="B384" s="108"/>
      <c r="C384" s="6" t="s">
        <v>91</v>
      </c>
      <c r="D384" s="13">
        <f>687148+46812</f>
        <v>733960</v>
      </c>
      <c r="E384" s="13">
        <v>1010506</v>
      </c>
      <c r="F384" s="85">
        <f>E384*100/D384</f>
        <v>137.6786200882882</v>
      </c>
    </row>
    <row r="385" spans="1:6" ht="12.75">
      <c r="A385" s="108"/>
      <c r="B385" s="108"/>
      <c r="C385" s="48" t="s">
        <v>10</v>
      </c>
      <c r="D385" s="13">
        <f>118738+20062</f>
        <v>138800</v>
      </c>
      <c r="E385" s="13">
        <v>180779</v>
      </c>
      <c r="F385" s="85">
        <f>E385*100/D385</f>
        <v>130.2442363112392</v>
      </c>
    </row>
    <row r="386" spans="1:6" ht="12.75">
      <c r="A386" s="108"/>
      <c r="B386" s="108"/>
      <c r="C386" s="48" t="s">
        <v>8</v>
      </c>
      <c r="D386" s="13">
        <f>5000+1000+8000+6000+39117+479810+1000+137050+1000+1000+3500+3000+64578+1000+1000</f>
        <v>752055</v>
      </c>
      <c r="E386" s="13">
        <v>490978</v>
      </c>
      <c r="F386" s="85">
        <f>E386*100/D386</f>
        <v>65.28485283656116</v>
      </c>
    </row>
    <row r="387" spans="1:6" ht="12.75">
      <c r="A387" s="108"/>
      <c r="B387" s="109"/>
      <c r="C387" s="69" t="s">
        <v>9</v>
      </c>
      <c r="D387" s="13"/>
      <c r="E387" s="13"/>
      <c r="F387" s="85"/>
    </row>
    <row r="388" spans="1:6" ht="12.75">
      <c r="A388" s="108"/>
      <c r="B388" s="78">
        <v>85421</v>
      </c>
      <c r="C388" s="86" t="s">
        <v>79</v>
      </c>
      <c r="D388" s="22">
        <f>D390</f>
        <v>843750</v>
      </c>
      <c r="E388" s="22">
        <f>E390</f>
        <v>998948</v>
      </c>
      <c r="F388" s="85">
        <f>E388*100/D388</f>
        <v>118.39383703703703</v>
      </c>
    </row>
    <row r="389" spans="1:6" ht="12.75">
      <c r="A389" s="108"/>
      <c r="B389" s="107"/>
      <c r="C389" s="69" t="s">
        <v>6</v>
      </c>
      <c r="D389" s="13"/>
      <c r="E389" s="13"/>
      <c r="F389" s="85"/>
    </row>
    <row r="390" spans="1:6" ht="12.75">
      <c r="A390" s="108"/>
      <c r="B390" s="108"/>
      <c r="C390" s="44" t="s">
        <v>7</v>
      </c>
      <c r="D390" s="13">
        <f>SUM(D391:D394)</f>
        <v>843750</v>
      </c>
      <c r="E390" s="13">
        <f>E391+E393+E392</f>
        <v>998948</v>
      </c>
      <c r="F390" s="85">
        <f>E390*100/D390</f>
        <v>118.39383703703703</v>
      </c>
    </row>
    <row r="391" spans="1:6" ht="12.75">
      <c r="A391" s="108"/>
      <c r="B391" s="108"/>
      <c r="C391" s="6" t="s">
        <v>91</v>
      </c>
      <c r="D391" s="13">
        <f>462245+30555</f>
        <v>492800</v>
      </c>
      <c r="E391" s="75">
        <v>632974</v>
      </c>
      <c r="F391" s="85">
        <f>E391*100/D391</f>
        <v>128.44439935064935</v>
      </c>
    </row>
    <row r="392" spans="1:6" ht="12.75">
      <c r="A392" s="108"/>
      <c r="B392" s="108"/>
      <c r="C392" s="6" t="s">
        <v>10</v>
      </c>
      <c r="D392" s="13">
        <f>81262+11238</f>
        <v>92500</v>
      </c>
      <c r="E392" s="13">
        <v>113170</v>
      </c>
      <c r="F392" s="85">
        <f>E392*100/D392</f>
        <v>122.34594594594594</v>
      </c>
    </row>
    <row r="393" spans="1:6" ht="12.75">
      <c r="A393" s="108"/>
      <c r="B393" s="108"/>
      <c r="C393" s="48" t="s">
        <v>8</v>
      </c>
      <c r="D393" s="13">
        <f>10000+3000+43306+1000+158450+500+2500+1000+2000+34194+1000+1500</f>
        <v>258450</v>
      </c>
      <c r="E393" s="13">
        <v>252804</v>
      </c>
      <c r="F393" s="85">
        <f>E393*100/D393</f>
        <v>97.81543818920487</v>
      </c>
    </row>
    <row r="394" spans="1:6" ht="12.75">
      <c r="A394" s="108"/>
      <c r="B394" s="109"/>
      <c r="C394" s="69" t="s">
        <v>9</v>
      </c>
      <c r="D394" s="13"/>
      <c r="E394" s="13"/>
      <c r="F394" s="85"/>
    </row>
    <row r="395" spans="1:6" ht="12.75">
      <c r="A395" s="108"/>
      <c r="B395" s="61">
        <v>85446</v>
      </c>
      <c r="C395" s="5" t="s">
        <v>80</v>
      </c>
      <c r="D395" s="10">
        <f>D397</f>
        <v>12940</v>
      </c>
      <c r="E395" s="10">
        <v>9000</v>
      </c>
      <c r="F395" s="85">
        <f>E395*100/D395</f>
        <v>69.55177743431221</v>
      </c>
    </row>
    <row r="396" spans="1:6" ht="12.75">
      <c r="A396" s="108"/>
      <c r="B396" s="107"/>
      <c r="C396" s="20" t="s">
        <v>6</v>
      </c>
      <c r="D396" s="11"/>
      <c r="E396" s="11">
        <v>0</v>
      </c>
      <c r="F396" s="85"/>
    </row>
    <row r="397" spans="1:6" ht="12.75">
      <c r="A397" s="108"/>
      <c r="B397" s="108"/>
      <c r="C397" s="49" t="s">
        <v>7</v>
      </c>
      <c r="D397" s="11">
        <f>SUM(D398:D401)</f>
        <v>12940</v>
      </c>
      <c r="E397" s="11">
        <v>9000</v>
      </c>
      <c r="F397" s="85">
        <f>E397*100/D397</f>
        <v>69.55177743431221</v>
      </c>
    </row>
    <row r="398" spans="1:6" ht="12.75">
      <c r="A398" s="108"/>
      <c r="B398" s="108"/>
      <c r="C398" s="47" t="s">
        <v>91</v>
      </c>
      <c r="D398" s="11"/>
      <c r="E398" s="11"/>
      <c r="F398" s="85"/>
    </row>
    <row r="399" spans="1:6" ht="12.75">
      <c r="A399" s="108"/>
      <c r="B399" s="108"/>
      <c r="C399" s="48" t="s">
        <v>10</v>
      </c>
      <c r="D399" s="11"/>
      <c r="E399" s="11"/>
      <c r="F399" s="85"/>
    </row>
    <row r="400" spans="1:6" ht="12.75">
      <c r="A400" s="108"/>
      <c r="B400" s="108"/>
      <c r="C400" s="48" t="s">
        <v>8</v>
      </c>
      <c r="D400" s="11">
        <f>12940</f>
        <v>12940</v>
      </c>
      <c r="E400" s="11">
        <v>9000</v>
      </c>
      <c r="F400" s="85">
        <f>E400*100/D400</f>
        <v>69.55177743431221</v>
      </c>
    </row>
    <row r="401" spans="1:6" ht="12.75">
      <c r="A401" s="109"/>
      <c r="B401" s="109"/>
      <c r="C401" s="6" t="s">
        <v>9</v>
      </c>
      <c r="D401" s="11"/>
      <c r="E401" s="11"/>
      <c r="F401" s="87"/>
    </row>
    <row r="402" spans="1:6" ht="24">
      <c r="A402" s="5">
        <v>921</v>
      </c>
      <c r="B402" s="5"/>
      <c r="C402" s="4" t="s">
        <v>96</v>
      </c>
      <c r="D402" s="10">
        <f>D403+D410+D417</f>
        <v>55600</v>
      </c>
      <c r="E402" s="10">
        <f>E403+E410+E417</f>
        <v>55600</v>
      </c>
      <c r="F402" s="25">
        <f>E402*100/D402</f>
        <v>100</v>
      </c>
    </row>
    <row r="403" spans="1:6" ht="16.5" customHeight="1">
      <c r="A403" s="99"/>
      <c r="B403" s="24">
        <v>92116</v>
      </c>
      <c r="C403" s="5" t="s">
        <v>61</v>
      </c>
      <c r="D403" s="10">
        <f>D405</f>
        <v>15600</v>
      </c>
      <c r="E403" s="10">
        <f>E405</f>
        <v>15600</v>
      </c>
      <c r="F403" s="25">
        <f>E403*100/D403</f>
        <v>100</v>
      </c>
    </row>
    <row r="404" spans="1:6" ht="12.75">
      <c r="A404" s="100"/>
      <c r="B404" s="107"/>
      <c r="C404" s="20" t="s">
        <v>6</v>
      </c>
      <c r="D404" s="14"/>
      <c r="E404" s="11"/>
      <c r="F404" s="25"/>
    </row>
    <row r="405" spans="1:6" ht="12.75">
      <c r="A405" s="100"/>
      <c r="B405" s="108"/>
      <c r="C405" s="49" t="s">
        <v>7</v>
      </c>
      <c r="D405" s="12">
        <f>SUM(D406:D409)</f>
        <v>15600</v>
      </c>
      <c r="E405" s="11">
        <v>15600</v>
      </c>
      <c r="F405" s="45">
        <f>E405*100/D405</f>
        <v>100</v>
      </c>
    </row>
    <row r="406" spans="1:6" ht="12.75">
      <c r="A406" s="100"/>
      <c r="B406" s="108"/>
      <c r="C406" s="47" t="s">
        <v>91</v>
      </c>
      <c r="D406" s="12"/>
      <c r="E406" s="11"/>
      <c r="F406" s="45"/>
    </row>
    <row r="407" spans="1:6" ht="12.75">
      <c r="A407" s="100"/>
      <c r="B407" s="108"/>
      <c r="C407" s="48" t="s">
        <v>10</v>
      </c>
      <c r="D407" s="12"/>
      <c r="E407" s="11"/>
      <c r="F407" s="45"/>
    </row>
    <row r="408" spans="1:6" ht="12.75">
      <c r="A408" s="100"/>
      <c r="B408" s="108"/>
      <c r="C408" s="48" t="s">
        <v>8</v>
      </c>
      <c r="D408" s="12"/>
      <c r="E408" s="11"/>
      <c r="F408" s="45"/>
    </row>
    <row r="409" spans="1:6" ht="12.75">
      <c r="A409" s="100"/>
      <c r="B409" s="109"/>
      <c r="C409" s="6" t="s">
        <v>9</v>
      </c>
      <c r="D409" s="12">
        <v>15600</v>
      </c>
      <c r="E409" s="11">
        <v>15600</v>
      </c>
      <c r="F409" s="45">
        <f>E409*100/D409</f>
        <v>100</v>
      </c>
    </row>
    <row r="410" spans="1:6" ht="12.75">
      <c r="A410" s="100"/>
      <c r="B410" s="55">
        <v>92120</v>
      </c>
      <c r="C410" s="5" t="s">
        <v>62</v>
      </c>
      <c r="D410" s="10">
        <v>5000</v>
      </c>
      <c r="E410" s="10">
        <v>5000</v>
      </c>
      <c r="F410" s="25">
        <f>E410*100/D410</f>
        <v>100</v>
      </c>
    </row>
    <row r="411" spans="1:6" ht="12.75">
      <c r="A411" s="100"/>
      <c r="B411" s="110"/>
      <c r="C411" s="44" t="s">
        <v>6</v>
      </c>
      <c r="D411" s="11"/>
      <c r="E411" s="11"/>
      <c r="F411" s="45"/>
    </row>
    <row r="412" spans="1:6" ht="12.75">
      <c r="A412" s="100"/>
      <c r="B412" s="110"/>
      <c r="C412" s="44" t="s">
        <v>7</v>
      </c>
      <c r="D412" s="11">
        <f>SUM(D413:D416)</f>
        <v>5000</v>
      </c>
      <c r="E412" s="11">
        <v>5000</v>
      </c>
      <c r="F412" s="45">
        <f>E412*100/D412</f>
        <v>100</v>
      </c>
    </row>
    <row r="413" spans="1:6" ht="12.75">
      <c r="A413" s="100"/>
      <c r="B413" s="110"/>
      <c r="C413" s="6" t="s">
        <v>91</v>
      </c>
      <c r="D413" s="11"/>
      <c r="E413" s="11"/>
      <c r="F413" s="45"/>
    </row>
    <row r="414" spans="1:6" ht="12.75">
      <c r="A414" s="100"/>
      <c r="B414" s="110"/>
      <c r="C414" s="6" t="s">
        <v>10</v>
      </c>
      <c r="D414" s="11"/>
      <c r="E414" s="11"/>
      <c r="F414" s="45"/>
    </row>
    <row r="415" spans="1:6" ht="12.75">
      <c r="A415" s="100"/>
      <c r="B415" s="110"/>
      <c r="C415" s="6" t="s">
        <v>8</v>
      </c>
      <c r="D415" s="11"/>
      <c r="E415" s="11"/>
      <c r="F415" s="45"/>
    </row>
    <row r="416" spans="1:7" ht="12.75">
      <c r="A416" s="100"/>
      <c r="B416" s="110"/>
      <c r="C416" s="6" t="s">
        <v>9</v>
      </c>
      <c r="D416" s="11">
        <v>5000</v>
      </c>
      <c r="E416" s="11">
        <v>5000</v>
      </c>
      <c r="F416" s="45">
        <f>E416*100/D416</f>
        <v>100</v>
      </c>
      <c r="G416" s="33"/>
    </row>
    <row r="417" spans="1:6" ht="12.75">
      <c r="A417" s="99"/>
      <c r="B417" s="5">
        <v>92195</v>
      </c>
      <c r="C417" s="5" t="s">
        <v>19</v>
      </c>
      <c r="D417" s="10">
        <v>35000</v>
      </c>
      <c r="E417" s="10">
        <v>35000</v>
      </c>
      <c r="F417" s="25">
        <f>E417*100/D417</f>
        <v>100</v>
      </c>
    </row>
    <row r="418" spans="1:6" ht="12.75">
      <c r="A418" s="100"/>
      <c r="B418" s="110"/>
      <c r="C418" s="44" t="s">
        <v>6</v>
      </c>
      <c r="D418" s="11"/>
      <c r="E418" s="11"/>
      <c r="F418" s="45"/>
    </row>
    <row r="419" spans="1:6" ht="12.75">
      <c r="A419" s="100"/>
      <c r="B419" s="110"/>
      <c r="C419" s="44" t="s">
        <v>7</v>
      </c>
      <c r="D419" s="11">
        <f>SUM(D420:D423)</f>
        <v>35000</v>
      </c>
      <c r="E419" s="11">
        <v>35000</v>
      </c>
      <c r="F419" s="45">
        <f>E419*100/D419</f>
        <v>100</v>
      </c>
    </row>
    <row r="420" spans="1:6" ht="12.75">
      <c r="A420" s="100"/>
      <c r="B420" s="110"/>
      <c r="C420" s="6" t="s">
        <v>91</v>
      </c>
      <c r="D420" s="11"/>
      <c r="E420" s="11"/>
      <c r="F420" s="45"/>
    </row>
    <row r="421" spans="1:6" ht="12.75">
      <c r="A421" s="100"/>
      <c r="B421" s="110"/>
      <c r="C421" s="6" t="s">
        <v>10</v>
      </c>
      <c r="D421" s="11"/>
      <c r="E421" s="11"/>
      <c r="F421" s="45"/>
    </row>
    <row r="422" spans="1:6" ht="12.75">
      <c r="A422" s="100"/>
      <c r="B422" s="110"/>
      <c r="C422" s="6" t="s">
        <v>8</v>
      </c>
      <c r="D422" s="11">
        <f>2000+2000</f>
        <v>4000</v>
      </c>
      <c r="E422" s="11">
        <v>12000</v>
      </c>
      <c r="F422" s="45">
        <f>E422*100/D422</f>
        <v>300</v>
      </c>
    </row>
    <row r="423" spans="1:6" ht="12.75">
      <c r="A423" s="101"/>
      <c r="B423" s="110"/>
      <c r="C423" s="6" t="s">
        <v>9</v>
      </c>
      <c r="D423" s="11">
        <f>11000+5000+13000+2000</f>
        <v>31000</v>
      </c>
      <c r="E423" s="11">
        <v>23000</v>
      </c>
      <c r="F423" s="45">
        <f>E423*100/D423</f>
        <v>74.19354838709677</v>
      </c>
    </row>
    <row r="424" spans="1:6" ht="12.75">
      <c r="A424" s="5">
        <v>926</v>
      </c>
      <c r="B424" s="5"/>
      <c r="C424" s="5" t="s">
        <v>63</v>
      </c>
      <c r="D424" s="10">
        <f>D425</f>
        <v>20000</v>
      </c>
      <c r="E424" s="10">
        <f>E425</f>
        <v>25000</v>
      </c>
      <c r="F424" s="25">
        <f>E424*100/D424</f>
        <v>125</v>
      </c>
    </row>
    <row r="425" spans="1:6" ht="12.75">
      <c r="A425" s="107"/>
      <c r="B425" s="24">
        <v>92695</v>
      </c>
      <c r="C425" s="5" t="s">
        <v>64</v>
      </c>
      <c r="D425" s="10">
        <f>D426+D427</f>
        <v>20000</v>
      </c>
      <c r="E425" s="10">
        <f>E427</f>
        <v>25000</v>
      </c>
      <c r="F425" s="25">
        <f>E425*100/D425</f>
        <v>125</v>
      </c>
    </row>
    <row r="426" spans="1:6" ht="12.75">
      <c r="A426" s="108"/>
      <c r="B426" s="107"/>
      <c r="C426" s="20" t="s">
        <v>6</v>
      </c>
      <c r="D426" s="11"/>
      <c r="E426" s="11"/>
      <c r="F426" s="45"/>
    </row>
    <row r="427" spans="1:6" ht="12.75">
      <c r="A427" s="108"/>
      <c r="B427" s="108"/>
      <c r="C427" s="49" t="s">
        <v>7</v>
      </c>
      <c r="D427" s="11">
        <f>SUM(D428:D431)</f>
        <v>20000</v>
      </c>
      <c r="E427" s="11">
        <f>E430+E431</f>
        <v>25000</v>
      </c>
      <c r="F427" s="45">
        <f>E427*100/D427</f>
        <v>125</v>
      </c>
    </row>
    <row r="428" spans="1:6" ht="12.75">
      <c r="A428" s="108"/>
      <c r="B428" s="108"/>
      <c r="C428" s="47" t="s">
        <v>91</v>
      </c>
      <c r="D428" s="11"/>
      <c r="E428" s="11"/>
      <c r="F428" s="45"/>
    </row>
    <row r="429" spans="1:6" ht="12.75">
      <c r="A429" s="108"/>
      <c r="B429" s="108"/>
      <c r="C429" s="48" t="s">
        <v>10</v>
      </c>
      <c r="D429" s="11"/>
      <c r="E429" s="11"/>
      <c r="F429" s="45"/>
    </row>
    <row r="430" spans="1:6" ht="12.75">
      <c r="A430" s="108"/>
      <c r="B430" s="108"/>
      <c r="C430" s="48" t="s">
        <v>8</v>
      </c>
      <c r="D430" s="11">
        <f>8000+6000</f>
        <v>14000</v>
      </c>
      <c r="E430" s="11">
        <v>20000</v>
      </c>
      <c r="F430" s="45">
        <f aca="true" t="shared" si="8" ref="F430:F438">E430*100/D430</f>
        <v>142.85714285714286</v>
      </c>
    </row>
    <row r="431" spans="1:6" ht="12.75">
      <c r="A431" s="109"/>
      <c r="B431" s="109"/>
      <c r="C431" s="6" t="s">
        <v>9</v>
      </c>
      <c r="D431" s="11">
        <f>500+5500</f>
        <v>6000</v>
      </c>
      <c r="E431" s="11">
        <v>5000</v>
      </c>
      <c r="F431" s="45">
        <f t="shared" si="8"/>
        <v>83.33333333333333</v>
      </c>
    </row>
    <row r="432" spans="1:7" ht="23.25" customHeight="1">
      <c r="A432" s="89"/>
      <c r="B432" s="68"/>
      <c r="C432" s="3" t="s">
        <v>65</v>
      </c>
      <c r="D432" s="10">
        <f>D7+D15+D30+D45+D53+D61+D90+D126+D134+D156+D171+D180+D279++D308+D337+D352+D402+D424</f>
        <v>41025304.8</v>
      </c>
      <c r="E432" s="10">
        <f>E7+E15+E30+E45+E53+E61+E90+E126+E134+E156+E171+E180+E279++E308+E337+E352+E402+E424</f>
        <v>42302523</v>
      </c>
      <c r="F432" s="25">
        <f t="shared" si="8"/>
        <v>103.1132448770984</v>
      </c>
      <c r="G432" s="7"/>
    </row>
    <row r="433" spans="1:6" ht="12.75">
      <c r="A433" s="50"/>
      <c r="B433" s="53"/>
      <c r="C433" s="64" t="s">
        <v>6</v>
      </c>
      <c r="D433" s="10">
        <f>D9+D17+D24+D32+D39+D47+D55+D63+D70+D77+D84+D92+D99+D106+D113+D120+D128+D136+D143+D150+D158+D165+D173+D182+D189+D196+D203+D210+D217+D224+D231+D238+D245+D252+D259+D266+D281+D288+D295+D302+D310+D317+D324+D331+D339+D346+D354+D361+D368+D375+D382+D389+D396+D404+D411+D418+D426</f>
        <v>5436586</v>
      </c>
      <c r="E433" s="10">
        <f>E9+E17+E24+E32+E39+E47+E55+E63+E70+E77+E84+E92+E99+E106+E113+E120+E128+E136+E143+E150+E158+E165+E173+E182+E189+E196+E203+E210+E217+E224+E231+E238+E245+E252+E259+E266+E281+E288+E295+E302+E310+E317+E324+E331+E339+E346+E354+E361+E368+E375+E382+E389+E396+E404+E411+E418+E426</f>
        <v>3160000</v>
      </c>
      <c r="F433" s="25">
        <f t="shared" si="8"/>
        <v>58.12471282529146</v>
      </c>
    </row>
    <row r="434" spans="1:7" ht="12.75">
      <c r="A434" s="50"/>
      <c r="B434" s="53"/>
      <c r="C434" s="52" t="s">
        <v>7</v>
      </c>
      <c r="D434" s="10">
        <f aca="true" t="shared" si="9" ref="D434:E437">D10+D18+D25+D33+D40+D48+D56+D64+D71+D78+D85+D93+D100+D107+D114+D121+D129+D137+D144+D151+D159+D166+D174+D183+D190+D197+D204+D211+D218+D225+D232+D239+D246+D253+D260+D267+D282+D289+D296+D303+D311+D318+D325+D332+D340+D347+D355+D362+D369+D376+D383+D390+D397+D405+D412+D419+D427</f>
        <v>35588718.8</v>
      </c>
      <c r="E434" s="10">
        <f t="shared" si="9"/>
        <v>39142523</v>
      </c>
      <c r="F434" s="25">
        <f t="shared" si="8"/>
        <v>109.98576043147696</v>
      </c>
      <c r="G434" s="90"/>
    </row>
    <row r="435" spans="1:7" ht="12.75">
      <c r="A435" s="50"/>
      <c r="B435" s="53"/>
      <c r="C435" s="47" t="s">
        <v>91</v>
      </c>
      <c r="D435" s="10">
        <f t="shared" si="9"/>
        <v>16296187</v>
      </c>
      <c r="E435" s="10">
        <f>E11+E19+E26+E34+E41+E49+E57+E65+E72+E79+E86+E94+E101+E108+E115+E122+E130+E138+E145+E152+E160+E167+E175+E184+E191+E198+E205+E212+E219+E226+E233+E240+E247+E254+E261+E268+E283+E290+E297+E304+E312+E319+E326+E333+E341+E348+E356+E363+E370+E377+E384+E391+E398+E406+E413+E420+E428</f>
        <v>18501075</v>
      </c>
      <c r="F435" s="25">
        <f t="shared" si="8"/>
        <v>113.53008528927657</v>
      </c>
      <c r="G435" s="7"/>
    </row>
    <row r="436" spans="1:9" ht="12.75">
      <c r="A436" s="50"/>
      <c r="B436" s="53"/>
      <c r="C436" s="47" t="s">
        <v>10</v>
      </c>
      <c r="D436" s="10">
        <f t="shared" si="9"/>
        <v>2648611.8</v>
      </c>
      <c r="E436" s="10">
        <f>E12+E20+E27+E35+E42+E50+E58+E66+E73+E80+E87+E95+E102+E109+E116+E123+E131+E139+E146+E153+E161+E168+E176+E185+E192+E199+E206+E213+E220+E227+E234+E241+E248+E255+E262+E269+E284+E291+E298+E305+E313+E320+E327+E334+E342+E349+E357+E364+E371+E378+E385+E392+E399+E407+E414+E421+E429</f>
        <v>2813345</v>
      </c>
      <c r="F436" s="25">
        <f t="shared" si="8"/>
        <v>106.21960530418237</v>
      </c>
      <c r="G436" s="7"/>
      <c r="I436" s="7"/>
    </row>
    <row r="437" spans="1:9" ht="12.75">
      <c r="A437" s="50"/>
      <c r="B437" s="53"/>
      <c r="C437" s="6" t="s">
        <v>8</v>
      </c>
      <c r="D437" s="10">
        <f t="shared" si="9"/>
        <v>13741427</v>
      </c>
      <c r="E437" s="10">
        <f>E13+E21+E28+E36+E43+E51+E59+E67+E74+E81+E88+E96+E103+E110+E117+E124+E132+E140+E147+E154+E162+E169+E177+E186+E193+E200+E207+E214+E221+E228+E235+E242+E249+E256+E263+E270+E285+E292+E299+E306+E314+E321+E328+E335+E343+E350+E358+E365+E372+E379+E386+E393+E400+E408+E415+E422+E430</f>
        <v>14470003</v>
      </c>
      <c r="F437" s="25">
        <f t="shared" si="8"/>
        <v>105.30204031939333</v>
      </c>
      <c r="G437" s="7"/>
      <c r="H437" s="7"/>
      <c r="I437" s="7"/>
    </row>
    <row r="438" spans="1:9" ht="12.75">
      <c r="A438" s="50"/>
      <c r="B438" s="53"/>
      <c r="C438" s="6" t="s">
        <v>9</v>
      </c>
      <c r="D438" s="10">
        <f>D14+D52+D215+D236+D293+D300+D315+D329+D373+D409+D416+D423+D431</f>
        <v>2350790</v>
      </c>
      <c r="E438" s="10">
        <f>E14+E22+E29+E37+E44+E52+E60+E68+E75+E82+E89+E97+E104+E111+E118+E125+E133+E141+E148+E155+E163+E170+E178+E187+E194+E201+E208+E215+E222+E229+E236+E243+E250+E257+E264+E271+E286+E293+E300+E307+E315+E322+E329+E336+E344+E351+E359+E366+E373+E380+E387+E394+E401+E409+E416+E423+E431</f>
        <v>2525100</v>
      </c>
      <c r="F438" s="25">
        <f t="shared" si="8"/>
        <v>107.41495412180586</v>
      </c>
      <c r="G438" s="7"/>
      <c r="H438" s="7"/>
      <c r="I438" s="7"/>
    </row>
    <row r="439" spans="1:8" ht="12.75">
      <c r="A439" s="50"/>
      <c r="B439" s="53"/>
      <c r="C439" s="6" t="s">
        <v>77</v>
      </c>
      <c r="D439" s="22">
        <f>D179</f>
        <v>551703</v>
      </c>
      <c r="E439" s="22">
        <f>E179</f>
        <v>833000</v>
      </c>
      <c r="F439" s="87"/>
      <c r="H439" s="7"/>
    </row>
    <row r="440" spans="1:7" ht="12.75">
      <c r="A440" s="50"/>
      <c r="B440" s="53"/>
      <c r="C440" s="6" t="s">
        <v>73</v>
      </c>
      <c r="D440" s="10"/>
      <c r="E440" s="12">
        <f>E164</f>
        <v>620000</v>
      </c>
      <c r="F440" s="25"/>
      <c r="G440" s="7"/>
    </row>
    <row r="441" spans="1:8" ht="12.75">
      <c r="A441" s="20"/>
      <c r="B441" s="60"/>
      <c r="C441" s="6" t="s">
        <v>74</v>
      </c>
      <c r="D441" s="11"/>
      <c r="E441" s="11">
        <f>E157</f>
        <v>800000</v>
      </c>
      <c r="F441" s="45"/>
      <c r="G441" s="7"/>
      <c r="H441" s="7"/>
    </row>
    <row r="442" spans="6:8" ht="12.75">
      <c r="F442" s="91"/>
      <c r="G442" s="7"/>
      <c r="H442" s="7"/>
    </row>
    <row r="443" spans="6:7" ht="12.75">
      <c r="F443" s="91"/>
      <c r="G443" s="7"/>
    </row>
    <row r="444" ht="12.75">
      <c r="F444" s="91"/>
    </row>
    <row r="445" ht="12.75">
      <c r="F445" s="91"/>
    </row>
    <row r="446" ht="12.75">
      <c r="F446" s="91"/>
    </row>
    <row r="447" ht="12.75">
      <c r="F447" s="91"/>
    </row>
    <row r="448" ht="12.75">
      <c r="F448" s="91"/>
    </row>
    <row r="449" ht="12.75">
      <c r="F449" s="91"/>
    </row>
    <row r="450" ht="12.75">
      <c r="F450" s="91"/>
    </row>
    <row r="451" ht="12.75">
      <c r="F451" s="91"/>
    </row>
    <row r="452" ht="12.75">
      <c r="F452" s="91"/>
    </row>
    <row r="453" ht="12.75">
      <c r="F453" s="91"/>
    </row>
    <row r="454" ht="12.75">
      <c r="F454" s="91"/>
    </row>
    <row r="455" ht="12.75">
      <c r="F455" s="91"/>
    </row>
    <row r="456" ht="12.75">
      <c r="F456" s="91"/>
    </row>
    <row r="457" ht="12.75">
      <c r="F457" s="91"/>
    </row>
    <row r="458" ht="12.75">
      <c r="F458" s="91"/>
    </row>
    <row r="459" ht="12.75">
      <c r="F459" s="91"/>
    </row>
    <row r="460" ht="12.75">
      <c r="F460" s="91"/>
    </row>
    <row r="461" ht="12.75">
      <c r="F461" s="91"/>
    </row>
    <row r="462" ht="12.75">
      <c r="F462" s="91"/>
    </row>
    <row r="463" ht="12.75">
      <c r="F463" s="91"/>
    </row>
    <row r="464" ht="12.75">
      <c r="F464" s="91"/>
    </row>
    <row r="465" ht="12.75">
      <c r="F465" s="91"/>
    </row>
    <row r="466" ht="12.75">
      <c r="F466" s="91"/>
    </row>
    <row r="467" ht="12.75">
      <c r="F467" s="91"/>
    </row>
    <row r="468" ht="12.75">
      <c r="F468" s="91"/>
    </row>
    <row r="469" ht="12.75">
      <c r="F469" s="91"/>
    </row>
    <row r="470" ht="12.75">
      <c r="F470" s="91"/>
    </row>
    <row r="471" ht="12.75">
      <c r="F471" s="91"/>
    </row>
    <row r="472" ht="12.75">
      <c r="F472" s="91"/>
    </row>
    <row r="473" ht="12.75">
      <c r="F473" s="91"/>
    </row>
    <row r="474" ht="12.75">
      <c r="F474" s="91"/>
    </row>
    <row r="475" ht="12.75">
      <c r="F475" s="91"/>
    </row>
    <row r="476" ht="12.75">
      <c r="F476" s="91"/>
    </row>
    <row r="477" ht="12.75">
      <c r="F477" s="91"/>
    </row>
    <row r="478" ht="12.75">
      <c r="F478" s="91"/>
    </row>
    <row r="479" ht="12.75">
      <c r="F479" s="91"/>
    </row>
    <row r="480" ht="12.75">
      <c r="F480" s="91"/>
    </row>
    <row r="481" spans="6:7" ht="12.75">
      <c r="F481" s="91"/>
      <c r="G481" s="33"/>
    </row>
    <row r="482" ht="12.75">
      <c r="F482" s="91"/>
    </row>
    <row r="483" ht="12.75">
      <c r="F483" s="91"/>
    </row>
    <row r="484" ht="12.75">
      <c r="F484" s="91"/>
    </row>
    <row r="485" ht="12.75">
      <c r="F485" s="91"/>
    </row>
    <row r="486" ht="12.75">
      <c r="F486" s="91"/>
    </row>
    <row r="487" ht="12.75">
      <c r="F487" s="91"/>
    </row>
    <row r="488" ht="12.75">
      <c r="F488" s="91"/>
    </row>
    <row r="489" ht="12.75">
      <c r="F489" s="91"/>
    </row>
    <row r="490" ht="12.75">
      <c r="F490" s="91"/>
    </row>
    <row r="491" ht="12.75">
      <c r="F491" s="91"/>
    </row>
    <row r="492" ht="12.75">
      <c r="F492" s="91"/>
    </row>
    <row r="493" ht="12.75">
      <c r="F493" s="91"/>
    </row>
    <row r="494" ht="12.75">
      <c r="F494" s="91"/>
    </row>
    <row r="495" ht="12.75">
      <c r="F495" s="91"/>
    </row>
    <row r="496" ht="12.75">
      <c r="F496" s="91"/>
    </row>
    <row r="497" ht="12.75">
      <c r="F497" s="91"/>
    </row>
    <row r="498" ht="12.75">
      <c r="F498" s="91"/>
    </row>
    <row r="499" ht="12.75">
      <c r="F499" s="91"/>
    </row>
    <row r="500" ht="12.75">
      <c r="F500" s="91"/>
    </row>
    <row r="501" ht="12.75">
      <c r="F501" s="91"/>
    </row>
    <row r="502" ht="12.75">
      <c r="F502" s="91"/>
    </row>
    <row r="503" ht="12.75">
      <c r="F503" s="91"/>
    </row>
    <row r="504" ht="12.75">
      <c r="F504" s="91"/>
    </row>
    <row r="505" ht="12.75">
      <c r="F505" s="91"/>
    </row>
    <row r="506" ht="12.75">
      <c r="F506" s="91"/>
    </row>
    <row r="507" ht="12.75">
      <c r="F507" s="91"/>
    </row>
    <row r="508" ht="12.75">
      <c r="F508" s="91"/>
    </row>
    <row r="509" ht="12.75">
      <c r="F509" s="91"/>
    </row>
    <row r="510" ht="12.75">
      <c r="F510" s="91"/>
    </row>
    <row r="511" ht="12.75">
      <c r="F511" s="91"/>
    </row>
    <row r="512" ht="12.75">
      <c r="F512" s="91"/>
    </row>
    <row r="513" ht="12.75">
      <c r="F513" s="91"/>
    </row>
    <row r="514" ht="12.75">
      <c r="F514" s="91"/>
    </row>
    <row r="515" ht="12.75">
      <c r="F515" s="91"/>
    </row>
    <row r="516" ht="12.75">
      <c r="F516" s="91"/>
    </row>
    <row r="517" ht="12.75">
      <c r="F517" s="91"/>
    </row>
    <row r="518" ht="12.75">
      <c r="F518" s="91"/>
    </row>
    <row r="519" ht="12.75">
      <c r="F519" s="91"/>
    </row>
    <row r="520" ht="12.75">
      <c r="F520" s="91"/>
    </row>
    <row r="521" ht="12.75">
      <c r="F521" s="91"/>
    </row>
    <row r="522" ht="12.75">
      <c r="F522" s="91"/>
    </row>
    <row r="523" ht="12.75">
      <c r="F523" s="91"/>
    </row>
    <row r="524" ht="12.75">
      <c r="F524" s="91"/>
    </row>
    <row r="525" ht="12.75">
      <c r="F525" s="91"/>
    </row>
    <row r="526" ht="12.75">
      <c r="F526" s="91"/>
    </row>
    <row r="527" ht="12.75">
      <c r="F527" s="91"/>
    </row>
    <row r="528" ht="12.75">
      <c r="F528" s="91"/>
    </row>
    <row r="529" ht="12.75">
      <c r="F529" s="91"/>
    </row>
    <row r="530" ht="12.75">
      <c r="F530" s="91"/>
    </row>
    <row r="531" ht="12.75">
      <c r="F531" s="91"/>
    </row>
    <row r="532" ht="12.75">
      <c r="F532" s="91"/>
    </row>
    <row r="533" ht="12.75">
      <c r="F533" s="91"/>
    </row>
    <row r="534" ht="12.75">
      <c r="F534" s="91"/>
    </row>
    <row r="535" ht="12.75">
      <c r="F535" s="91"/>
    </row>
    <row r="536" ht="12.75">
      <c r="F536" s="91"/>
    </row>
    <row r="537" ht="12.75">
      <c r="F537" s="91"/>
    </row>
    <row r="538" ht="12.75">
      <c r="F538" s="91"/>
    </row>
    <row r="539" ht="12.75">
      <c r="F539" s="91"/>
    </row>
    <row r="540" ht="12.75">
      <c r="F540" s="91"/>
    </row>
    <row r="541" ht="12.75">
      <c r="F541" s="91"/>
    </row>
    <row r="542" ht="12.75">
      <c r="F542" s="91"/>
    </row>
  </sheetData>
  <mergeCells count="73">
    <mergeCell ref="B84:B89"/>
    <mergeCell ref="B24:B29"/>
    <mergeCell ref="A16:A29"/>
    <mergeCell ref="E1:F1"/>
    <mergeCell ref="A8:A14"/>
    <mergeCell ref="B9:B14"/>
    <mergeCell ref="B17:B22"/>
    <mergeCell ref="B120:B125"/>
    <mergeCell ref="A62:A89"/>
    <mergeCell ref="B39:B44"/>
    <mergeCell ref="A46:A52"/>
    <mergeCell ref="B47:B52"/>
    <mergeCell ref="A54:A60"/>
    <mergeCell ref="B55:B60"/>
    <mergeCell ref="B63:B68"/>
    <mergeCell ref="B70:B75"/>
    <mergeCell ref="B77:B82"/>
    <mergeCell ref="B92:B97"/>
    <mergeCell ref="B99:B104"/>
    <mergeCell ref="B106:B111"/>
    <mergeCell ref="B113:B118"/>
    <mergeCell ref="A127:A133"/>
    <mergeCell ref="B128:B133"/>
    <mergeCell ref="B136:B141"/>
    <mergeCell ref="B165:B170"/>
    <mergeCell ref="B143:B148"/>
    <mergeCell ref="B150:B155"/>
    <mergeCell ref="A135:A155"/>
    <mergeCell ref="B158:B163"/>
    <mergeCell ref="A157:A170"/>
    <mergeCell ref="A172:A179"/>
    <mergeCell ref="B173:B179"/>
    <mergeCell ref="B182:B187"/>
    <mergeCell ref="B196:B201"/>
    <mergeCell ref="B252:B257"/>
    <mergeCell ref="B259:B264"/>
    <mergeCell ref="B266:B278"/>
    <mergeCell ref="A238:A278"/>
    <mergeCell ref="B231:B236"/>
    <mergeCell ref="B238:B243"/>
    <mergeCell ref="B245:B250"/>
    <mergeCell ref="B189:B194"/>
    <mergeCell ref="B217:B222"/>
    <mergeCell ref="B203:B208"/>
    <mergeCell ref="B210:B215"/>
    <mergeCell ref="B224:B229"/>
    <mergeCell ref="A309:A336"/>
    <mergeCell ref="B295:B300"/>
    <mergeCell ref="B288:B293"/>
    <mergeCell ref="B281:B286"/>
    <mergeCell ref="B302:B307"/>
    <mergeCell ref="B310:B315"/>
    <mergeCell ref="B317:B322"/>
    <mergeCell ref="B324:B329"/>
    <mergeCell ref="B331:B336"/>
    <mergeCell ref="B339:B344"/>
    <mergeCell ref="B346:B351"/>
    <mergeCell ref="A353:A401"/>
    <mergeCell ref="B396:B401"/>
    <mergeCell ref="B389:B394"/>
    <mergeCell ref="B382:B387"/>
    <mergeCell ref="B368:B373"/>
    <mergeCell ref="B361:B366"/>
    <mergeCell ref="B426:B431"/>
    <mergeCell ref="A425:A431"/>
    <mergeCell ref="A31:A44"/>
    <mergeCell ref="B32:B37"/>
    <mergeCell ref="B354:B359"/>
    <mergeCell ref="B375:B380"/>
    <mergeCell ref="B404:B409"/>
    <mergeCell ref="B411:B416"/>
    <mergeCell ref="B418:B423"/>
    <mergeCell ref="A338:A351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Footer>&amp;CStrona &amp;P z &amp;N</oddFooter>
  </headerFooter>
  <rowBreaks count="7" manualBreakCount="7">
    <brk id="52" max="255" man="1"/>
    <brk id="111" max="6" man="1"/>
    <brk id="170" max="6" man="1"/>
    <brk id="229" max="6" man="1"/>
    <brk id="293" max="6" man="1"/>
    <brk id="351" max="6" man="1"/>
    <brk id="4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1"/>
  <sheetViews>
    <sheetView workbookViewId="0" topLeftCell="A243">
      <selection activeCell="E200" sqref="E200"/>
    </sheetView>
  </sheetViews>
  <sheetFormatPr defaultColWidth="9.00390625" defaultRowHeight="12.75"/>
  <cols>
    <col min="1" max="1" width="6.25390625" style="26" customWidth="1"/>
    <col min="2" max="2" width="7.625" style="26" customWidth="1"/>
    <col min="3" max="3" width="33.625" style="26" customWidth="1"/>
    <col min="4" max="4" width="13.625" style="7" customWidth="1"/>
    <col min="5" max="5" width="11.75390625" style="7" customWidth="1"/>
    <col min="6" max="6" width="12.875" style="32" customWidth="1"/>
    <col min="7" max="7" width="10.25390625" style="26" bestFit="1" customWidth="1"/>
    <col min="8" max="9" width="10.125" style="26" bestFit="1" customWidth="1"/>
    <col min="10" max="16384" width="9.125" style="26" customWidth="1"/>
  </cols>
  <sheetData>
    <row r="1" spans="5:6" ht="33.75" customHeight="1">
      <c r="E1" s="118" t="s">
        <v>82</v>
      </c>
      <c r="F1" s="118"/>
    </row>
    <row r="2" ht="12.75">
      <c r="E2" s="31"/>
    </row>
    <row r="3" spans="1:3" ht="12.75">
      <c r="A3" s="33"/>
      <c r="B3" s="33"/>
      <c r="C3" s="33" t="s">
        <v>83</v>
      </c>
    </row>
    <row r="4" ht="12.75">
      <c r="C4" s="33"/>
    </row>
    <row r="5" spans="1:6" ht="38.25">
      <c r="A5" s="34" t="s">
        <v>0</v>
      </c>
      <c r="B5" s="34" t="s">
        <v>1</v>
      </c>
      <c r="C5" s="34" t="s">
        <v>2</v>
      </c>
      <c r="D5" s="8" t="s">
        <v>84</v>
      </c>
      <c r="E5" s="35" t="s">
        <v>85</v>
      </c>
      <c r="F5" s="36" t="s">
        <v>3</v>
      </c>
    </row>
    <row r="6" spans="1:6" s="33" customFormat="1" ht="12.75">
      <c r="A6" s="37">
        <v>1</v>
      </c>
      <c r="B6" s="37">
        <v>2</v>
      </c>
      <c r="C6" s="37">
        <v>3</v>
      </c>
      <c r="D6" s="9">
        <v>4</v>
      </c>
      <c r="E6" s="9">
        <v>5</v>
      </c>
      <c r="F6" s="38">
        <v>6</v>
      </c>
    </row>
    <row r="7" spans="1:6" ht="12.75">
      <c r="A7" s="95" t="s">
        <v>86</v>
      </c>
      <c r="B7" s="39"/>
      <c r="C7" s="5" t="s">
        <v>4</v>
      </c>
      <c r="D7" s="10">
        <v>35000</v>
      </c>
      <c r="E7" s="10">
        <v>15000</v>
      </c>
      <c r="F7" s="25">
        <f>E7*100/D7</f>
        <v>42.857142857142854</v>
      </c>
    </row>
    <row r="8" spans="1:6" ht="25.5">
      <c r="A8" s="40"/>
      <c r="B8" s="92" t="s">
        <v>87</v>
      </c>
      <c r="C8" s="41" t="s">
        <v>5</v>
      </c>
      <c r="D8" s="10">
        <v>35000</v>
      </c>
      <c r="E8" s="10">
        <f>E10</f>
        <v>15000</v>
      </c>
      <c r="F8" s="25">
        <f>E8*100/D8</f>
        <v>42.857142857142854</v>
      </c>
    </row>
    <row r="9" spans="1:6" ht="12.75">
      <c r="A9" s="42"/>
      <c r="B9" s="43"/>
      <c r="C9" s="44" t="s">
        <v>6</v>
      </c>
      <c r="D9" s="11">
        <v>0</v>
      </c>
      <c r="E9" s="11">
        <v>0</v>
      </c>
      <c r="F9" s="45"/>
    </row>
    <row r="10" spans="1:6" ht="12.75">
      <c r="A10" s="42"/>
      <c r="B10" s="43"/>
      <c r="C10" s="44" t="s">
        <v>7</v>
      </c>
      <c r="D10" s="11">
        <f>SUM(D11:D14)</f>
        <v>35000</v>
      </c>
      <c r="E10" s="11">
        <v>15000</v>
      </c>
      <c r="F10" s="45">
        <f>E10*100/D10</f>
        <v>42.857142857142854</v>
      </c>
    </row>
    <row r="11" spans="1:6" ht="12.75">
      <c r="A11" s="42"/>
      <c r="B11" s="46"/>
      <c r="C11" s="47" t="s">
        <v>91</v>
      </c>
      <c r="D11" s="11"/>
      <c r="E11" s="11"/>
      <c r="F11" s="45"/>
    </row>
    <row r="12" spans="1:6" ht="12.75">
      <c r="A12" s="42"/>
      <c r="B12" s="46"/>
      <c r="C12" s="47" t="s">
        <v>92</v>
      </c>
      <c r="D12" s="11"/>
      <c r="E12" s="11"/>
      <c r="F12" s="45"/>
    </row>
    <row r="13" spans="1:6" ht="12.75">
      <c r="A13" s="42"/>
      <c r="B13" s="43"/>
      <c r="C13" s="48" t="s">
        <v>8</v>
      </c>
      <c r="D13" s="12">
        <v>35000</v>
      </c>
      <c r="E13" s="11">
        <v>15000</v>
      </c>
      <c r="F13" s="45">
        <f>E13*100/D13</f>
        <v>42.857142857142854</v>
      </c>
    </row>
    <row r="14" spans="1:6" ht="12.75">
      <c r="A14" s="42"/>
      <c r="B14" s="43"/>
      <c r="C14" s="6" t="s">
        <v>9</v>
      </c>
      <c r="D14" s="11">
        <v>0</v>
      </c>
      <c r="E14" s="11">
        <v>0</v>
      </c>
      <c r="F14" s="25"/>
    </row>
    <row r="15" spans="1:6" ht="12.75">
      <c r="A15" s="95" t="s">
        <v>89</v>
      </c>
      <c r="B15" s="39"/>
      <c r="C15" s="2" t="s">
        <v>11</v>
      </c>
      <c r="D15" s="10">
        <f>D16+D23</f>
        <v>185200</v>
      </c>
      <c r="E15" s="10">
        <f>E16+E23</f>
        <v>195000</v>
      </c>
      <c r="F15" s="25">
        <f>E15*100/D15</f>
        <v>105.29157667386609</v>
      </c>
    </row>
    <row r="16" spans="1:6" ht="12.75">
      <c r="A16" s="40"/>
      <c r="B16" s="93" t="s">
        <v>88</v>
      </c>
      <c r="C16" s="2" t="s">
        <v>12</v>
      </c>
      <c r="D16" s="10">
        <v>178200</v>
      </c>
      <c r="E16" s="10">
        <f>E18</f>
        <v>186000</v>
      </c>
      <c r="F16" s="25">
        <f>E16*100/D16</f>
        <v>104.37710437710437</v>
      </c>
    </row>
    <row r="17" spans="1:6" ht="12.75">
      <c r="A17" s="42"/>
      <c r="B17" s="43"/>
      <c r="C17" s="49" t="s">
        <v>6</v>
      </c>
      <c r="D17" s="11"/>
      <c r="E17" s="11"/>
      <c r="F17" s="45"/>
    </row>
    <row r="18" spans="1:6" ht="12.75">
      <c r="A18" s="42"/>
      <c r="B18" s="43"/>
      <c r="C18" s="49" t="s">
        <v>7</v>
      </c>
      <c r="D18" s="12">
        <f>SUM(D19:D22)</f>
        <v>178200</v>
      </c>
      <c r="E18" s="11">
        <v>186000</v>
      </c>
      <c r="F18" s="45">
        <f>E18*100/D18</f>
        <v>104.37710437710437</v>
      </c>
    </row>
    <row r="19" spans="1:6" ht="12.75">
      <c r="A19" s="42"/>
      <c r="B19" s="46"/>
      <c r="C19" s="47" t="s">
        <v>91</v>
      </c>
      <c r="D19" s="11"/>
      <c r="E19" s="11"/>
      <c r="F19" s="45"/>
    </row>
    <row r="20" spans="1:6" ht="12.75">
      <c r="A20" s="42"/>
      <c r="B20" s="46"/>
      <c r="C20" s="47" t="s">
        <v>92</v>
      </c>
      <c r="D20" s="11"/>
      <c r="E20" s="11"/>
      <c r="F20" s="45"/>
    </row>
    <row r="21" spans="1:6" ht="12.75">
      <c r="A21" s="42"/>
      <c r="B21" s="43"/>
      <c r="C21" s="48" t="s">
        <v>8</v>
      </c>
      <c r="D21" s="12">
        <v>178200</v>
      </c>
      <c r="E21" s="11">
        <v>186000</v>
      </c>
      <c r="F21" s="45">
        <f>E21*100/D21</f>
        <v>104.37710437710437</v>
      </c>
    </row>
    <row r="22" spans="1:6" ht="12.75">
      <c r="A22" s="42"/>
      <c r="B22" s="43"/>
      <c r="C22" s="48" t="s">
        <v>9</v>
      </c>
      <c r="D22" s="11"/>
      <c r="E22" s="11"/>
      <c r="F22" s="25"/>
    </row>
    <row r="23" spans="1:6" ht="12.75">
      <c r="A23" s="42"/>
      <c r="B23" s="94" t="s">
        <v>90</v>
      </c>
      <c r="C23" s="1" t="s">
        <v>13</v>
      </c>
      <c r="D23" s="10">
        <v>7000</v>
      </c>
      <c r="E23" s="10">
        <f>E25</f>
        <v>9000</v>
      </c>
      <c r="F23" s="25">
        <f>E23*100/D23</f>
        <v>128.57142857142858</v>
      </c>
    </row>
    <row r="24" spans="1:6" ht="12.75">
      <c r="A24" s="50"/>
      <c r="B24" s="51"/>
      <c r="C24" s="52" t="s">
        <v>6</v>
      </c>
      <c r="D24" s="11"/>
      <c r="E24" s="11"/>
      <c r="F24" s="25"/>
    </row>
    <row r="25" spans="1:6" ht="12.75">
      <c r="A25" s="50"/>
      <c r="B25" s="23"/>
      <c r="C25" s="52" t="s">
        <v>7</v>
      </c>
      <c r="D25" s="12">
        <f>SUM(D26:D29)</f>
        <v>7000</v>
      </c>
      <c r="E25" s="11">
        <v>9000</v>
      </c>
      <c r="F25" s="45">
        <f>E25*100/D25</f>
        <v>128.57142857142858</v>
      </c>
    </row>
    <row r="26" spans="1:6" ht="12.75">
      <c r="A26" s="23"/>
      <c r="B26" s="53"/>
      <c r="C26" s="47" t="s">
        <v>91</v>
      </c>
      <c r="D26" s="11"/>
      <c r="E26" s="11"/>
      <c r="F26" s="45"/>
    </row>
    <row r="27" spans="1:6" ht="12.75">
      <c r="A27" s="23"/>
      <c r="B27" s="53"/>
      <c r="C27" s="47" t="s">
        <v>92</v>
      </c>
      <c r="D27" s="11"/>
      <c r="E27" s="11"/>
      <c r="F27" s="45"/>
    </row>
    <row r="28" spans="1:6" ht="12.75">
      <c r="A28" s="50"/>
      <c r="B28" s="23"/>
      <c r="C28" s="47" t="s">
        <v>8</v>
      </c>
      <c r="D28" s="12">
        <f>7000-D26-D27</f>
        <v>7000</v>
      </c>
      <c r="E28" s="11">
        <v>9000</v>
      </c>
      <c r="F28" s="45">
        <f>E28*100/D28</f>
        <v>128.57142857142858</v>
      </c>
    </row>
    <row r="29" spans="1:6" ht="12.75">
      <c r="A29" s="20"/>
      <c r="B29" s="54"/>
      <c r="C29" s="47" t="s">
        <v>9</v>
      </c>
      <c r="D29" s="11"/>
      <c r="E29" s="11"/>
      <c r="F29" s="25"/>
    </row>
    <row r="30" spans="1:6" ht="12.75">
      <c r="A30" s="5">
        <v>600</v>
      </c>
      <c r="B30" s="54"/>
      <c r="C30" s="3" t="s">
        <v>14</v>
      </c>
      <c r="D30" s="10">
        <f>D31</f>
        <v>3482582</v>
      </c>
      <c r="E30" s="10">
        <f>E31</f>
        <v>5054900</v>
      </c>
      <c r="F30" s="25">
        <f aca="true" t="shared" si="0" ref="F30:F36">E30*100/D30</f>
        <v>145.14805394388415</v>
      </c>
    </row>
    <row r="31" spans="1:6" ht="12.75">
      <c r="A31" s="51"/>
      <c r="B31" s="55">
        <v>60014</v>
      </c>
      <c r="C31" s="96" t="s">
        <v>15</v>
      </c>
      <c r="D31" s="27">
        <f>D32+D33</f>
        <v>3482582</v>
      </c>
      <c r="E31" s="27">
        <f>E32+E33</f>
        <v>5054900</v>
      </c>
      <c r="F31" s="25">
        <f t="shared" si="0"/>
        <v>145.14805394388415</v>
      </c>
    </row>
    <row r="32" spans="1:6" ht="12.75">
      <c r="A32" s="23"/>
      <c r="B32" s="53"/>
      <c r="C32" s="52" t="s">
        <v>6</v>
      </c>
      <c r="D32" s="11">
        <v>1611782</v>
      </c>
      <c r="E32" s="11">
        <v>3300000</v>
      </c>
      <c r="F32" s="45">
        <f t="shared" si="0"/>
        <v>204.74232867720323</v>
      </c>
    </row>
    <row r="33" spans="1:6" ht="12.75">
      <c r="A33" s="23"/>
      <c r="B33" s="53"/>
      <c r="C33" s="52" t="s">
        <v>7</v>
      </c>
      <c r="D33" s="11">
        <f>SUM(D34:D37)</f>
        <v>1870800</v>
      </c>
      <c r="E33" s="11">
        <f>SUM(E34:E37)</f>
        <v>1754900</v>
      </c>
      <c r="F33" s="45">
        <f t="shared" si="0"/>
        <v>93.80478939491127</v>
      </c>
    </row>
    <row r="34" spans="1:6" ht="12.75">
      <c r="A34" s="23"/>
      <c r="B34" s="53"/>
      <c r="C34" s="47" t="s">
        <v>91</v>
      </c>
      <c r="D34" s="11">
        <v>520300</v>
      </c>
      <c r="E34" s="11">
        <v>554500</v>
      </c>
      <c r="F34" s="45">
        <f t="shared" si="0"/>
        <v>106.57313088602729</v>
      </c>
    </row>
    <row r="35" spans="1:6" ht="12.75">
      <c r="A35" s="23"/>
      <c r="B35" s="53"/>
      <c r="C35" s="47" t="s">
        <v>92</v>
      </c>
      <c r="D35" s="11">
        <v>100500</v>
      </c>
      <c r="E35" s="11">
        <f>86600+13800</f>
        <v>100400</v>
      </c>
      <c r="F35" s="45">
        <f t="shared" si="0"/>
        <v>99.90049751243781</v>
      </c>
    </row>
    <row r="36" spans="1:6" ht="12.75">
      <c r="A36" s="23"/>
      <c r="B36" s="53"/>
      <c r="C36" s="47" t="s">
        <v>8</v>
      </c>
      <c r="D36" s="11">
        <v>1250000</v>
      </c>
      <c r="E36" s="11">
        <v>1100000</v>
      </c>
      <c r="F36" s="45">
        <f t="shared" si="0"/>
        <v>88</v>
      </c>
    </row>
    <row r="37" spans="1:6" ht="12.75">
      <c r="A37" s="54"/>
      <c r="B37" s="53"/>
      <c r="C37" s="56" t="s">
        <v>9</v>
      </c>
      <c r="D37" s="13">
        <v>0</v>
      </c>
      <c r="E37" s="11"/>
      <c r="F37" s="25"/>
    </row>
    <row r="38" spans="1:6" ht="12.75">
      <c r="A38" s="57">
        <v>630</v>
      </c>
      <c r="B38" s="44"/>
      <c r="C38" s="2" t="s">
        <v>16</v>
      </c>
      <c r="D38" s="10">
        <v>2000</v>
      </c>
      <c r="E38" s="10">
        <v>2000</v>
      </c>
      <c r="F38" s="25">
        <f>E38*100/D38</f>
        <v>100</v>
      </c>
    </row>
    <row r="39" spans="1:6" ht="12.75">
      <c r="A39" s="51"/>
      <c r="B39" s="24">
        <v>63095</v>
      </c>
      <c r="C39" s="2" t="s">
        <v>19</v>
      </c>
      <c r="D39" s="10">
        <v>2000</v>
      </c>
      <c r="E39" s="10">
        <v>2000</v>
      </c>
      <c r="F39" s="25">
        <f>E39*100/D39</f>
        <v>100</v>
      </c>
    </row>
    <row r="40" spans="1:6" ht="12.75">
      <c r="A40" s="23"/>
      <c r="B40" s="53"/>
      <c r="C40" s="58" t="s">
        <v>6</v>
      </c>
      <c r="D40" s="14"/>
      <c r="E40" s="11"/>
      <c r="F40" s="25"/>
    </row>
    <row r="41" spans="1:6" ht="12.75">
      <c r="A41" s="23"/>
      <c r="B41" s="53"/>
      <c r="C41" s="52" t="s">
        <v>7</v>
      </c>
      <c r="D41" s="12">
        <f>SUM(D42:D45)</f>
        <v>2000</v>
      </c>
      <c r="E41" s="11">
        <v>2000</v>
      </c>
      <c r="F41" s="45">
        <f>E41*100/D41</f>
        <v>100</v>
      </c>
    </row>
    <row r="42" spans="1:6" ht="12.75">
      <c r="A42" s="23"/>
      <c r="B42" s="53"/>
      <c r="C42" s="47" t="s">
        <v>91</v>
      </c>
      <c r="D42" s="11"/>
      <c r="E42" s="11"/>
      <c r="F42" s="45"/>
    </row>
    <row r="43" spans="1:6" ht="12.75">
      <c r="A43" s="23"/>
      <c r="B43" s="53"/>
      <c r="C43" s="47" t="s">
        <v>92</v>
      </c>
      <c r="D43" s="11"/>
      <c r="E43" s="11"/>
      <c r="F43" s="45"/>
    </row>
    <row r="44" spans="1:6" ht="12.75">
      <c r="A44" s="23"/>
      <c r="B44" s="53"/>
      <c r="C44" s="47" t="s">
        <v>8</v>
      </c>
      <c r="D44" s="11"/>
      <c r="E44" s="11"/>
      <c r="F44" s="45"/>
    </row>
    <row r="45" spans="1:6" ht="12.75">
      <c r="A45" s="54"/>
      <c r="B45" s="53"/>
      <c r="C45" s="56" t="s">
        <v>9</v>
      </c>
      <c r="D45" s="13">
        <v>2000</v>
      </c>
      <c r="E45" s="11">
        <v>2000</v>
      </c>
      <c r="F45" s="45">
        <f>E45*100/D45</f>
        <v>100</v>
      </c>
    </row>
    <row r="46" spans="1:6" ht="12.75">
      <c r="A46" s="57">
        <v>700</v>
      </c>
      <c r="B46" s="44"/>
      <c r="C46" s="5" t="s">
        <v>17</v>
      </c>
      <c r="D46" s="10">
        <f>D47</f>
        <v>44776</v>
      </c>
      <c r="E46" s="10">
        <f>E47</f>
        <v>90000</v>
      </c>
      <c r="F46" s="25"/>
    </row>
    <row r="47" spans="1:6" ht="25.5">
      <c r="A47" s="51"/>
      <c r="B47" s="24">
        <v>70005</v>
      </c>
      <c r="C47" s="59" t="s">
        <v>18</v>
      </c>
      <c r="D47" s="10">
        <f>D49</f>
        <v>44776</v>
      </c>
      <c r="E47" s="10">
        <f>E49</f>
        <v>90000</v>
      </c>
      <c r="F47" s="25">
        <f>E47*100/D47</f>
        <v>201.00053600142934</v>
      </c>
    </row>
    <row r="48" spans="1:6" ht="12.75">
      <c r="A48" s="23"/>
      <c r="B48" s="53"/>
      <c r="C48" s="58" t="s">
        <v>6</v>
      </c>
      <c r="D48" s="14"/>
      <c r="E48" s="11"/>
      <c r="F48" s="25"/>
    </row>
    <row r="49" spans="1:6" ht="12.75">
      <c r="A49" s="23"/>
      <c r="B49" s="53"/>
      <c r="C49" s="52" t="s">
        <v>7</v>
      </c>
      <c r="D49" s="12">
        <f>SUM(D50:D53)</f>
        <v>44776</v>
      </c>
      <c r="E49" s="11">
        <v>90000</v>
      </c>
      <c r="F49" s="45">
        <f>E49*100/D49</f>
        <v>201.00053600142934</v>
      </c>
    </row>
    <row r="50" spans="1:6" ht="12.75">
      <c r="A50" s="23"/>
      <c r="B50" s="53"/>
      <c r="C50" s="47" t="s">
        <v>91</v>
      </c>
      <c r="D50" s="11"/>
      <c r="E50" s="11"/>
      <c r="F50" s="45"/>
    </row>
    <row r="51" spans="1:6" ht="12.75">
      <c r="A51" s="23"/>
      <c r="B51" s="53"/>
      <c r="C51" s="47" t="s">
        <v>92</v>
      </c>
      <c r="D51" s="11"/>
      <c r="E51" s="11"/>
      <c r="F51" s="45"/>
    </row>
    <row r="52" spans="1:6" ht="12.75">
      <c r="A52" s="23"/>
      <c r="B52" s="53"/>
      <c r="C52" s="47" t="s">
        <v>8</v>
      </c>
      <c r="D52" s="12">
        <v>44776</v>
      </c>
      <c r="E52" s="12">
        <v>90000</v>
      </c>
      <c r="F52" s="45">
        <f>E52*100/D52</f>
        <v>201.00053600142934</v>
      </c>
    </row>
    <row r="53" spans="1:6" ht="12.75">
      <c r="A53" s="54"/>
      <c r="B53" s="60"/>
      <c r="C53" s="47" t="s">
        <v>9</v>
      </c>
      <c r="D53" s="12"/>
      <c r="E53" s="12"/>
      <c r="F53" s="45"/>
    </row>
    <row r="54" spans="1:6" ht="14.25" customHeight="1">
      <c r="A54" s="5">
        <v>710</v>
      </c>
      <c r="B54" s="5"/>
      <c r="C54" s="2" t="s">
        <v>20</v>
      </c>
      <c r="D54" s="10">
        <f>D55+D62+D69+D76</f>
        <v>295156</v>
      </c>
      <c r="E54" s="10">
        <f>SUM(E55+E62+E69+E76)</f>
        <v>657240</v>
      </c>
      <c r="F54" s="25">
        <f>E54*100/D54</f>
        <v>222.67546653295207</v>
      </c>
    </row>
    <row r="55" spans="1:6" ht="25.5" customHeight="1">
      <c r="A55" s="61"/>
      <c r="B55" s="62">
        <v>71012</v>
      </c>
      <c r="C55" s="4" t="s">
        <v>69</v>
      </c>
      <c r="D55" s="10">
        <f>D57</f>
        <v>80464</v>
      </c>
      <c r="E55" s="10">
        <f>E57</f>
        <v>342700</v>
      </c>
      <c r="F55" s="25">
        <f>E55*100/D55</f>
        <v>425.90475243587196</v>
      </c>
    </row>
    <row r="56" spans="1:6" ht="13.5" customHeight="1">
      <c r="A56" s="63"/>
      <c r="B56" s="61"/>
      <c r="C56" s="64" t="s">
        <v>6</v>
      </c>
      <c r="D56" s="12">
        <v>0</v>
      </c>
      <c r="E56" s="12">
        <v>0</v>
      </c>
      <c r="F56" s="25"/>
    </row>
    <row r="57" spans="1:6" ht="13.5" customHeight="1">
      <c r="A57" s="63"/>
      <c r="B57" s="65"/>
      <c r="C57" s="64" t="s">
        <v>7</v>
      </c>
      <c r="D57" s="12">
        <f>SUM(D58:D61)</f>
        <v>80464</v>
      </c>
      <c r="E57" s="12">
        <f>E58+E59+E60</f>
        <v>342700</v>
      </c>
      <c r="F57" s="25">
        <f>E57*100/D57</f>
        <v>425.90475243587196</v>
      </c>
    </row>
    <row r="58" spans="1:6" ht="13.5" customHeight="1">
      <c r="A58" s="63"/>
      <c r="B58" s="65"/>
      <c r="C58" s="47" t="s">
        <v>91</v>
      </c>
      <c r="D58" s="12">
        <v>64790</v>
      </c>
      <c r="E58" s="12">
        <v>281000</v>
      </c>
      <c r="F58" s="25">
        <f>E58*100/D58</f>
        <v>433.7089056953234</v>
      </c>
    </row>
    <row r="59" spans="1:6" ht="13.5" customHeight="1">
      <c r="A59" s="63"/>
      <c r="B59" s="65"/>
      <c r="C59" s="47" t="s">
        <v>92</v>
      </c>
      <c r="D59" s="12">
        <v>12890</v>
      </c>
      <c r="E59" s="12">
        <v>53700</v>
      </c>
      <c r="F59" s="25">
        <f>E59*100/D59</f>
        <v>416.60201706749416</v>
      </c>
    </row>
    <row r="60" spans="1:6" ht="13.5" customHeight="1">
      <c r="A60" s="63"/>
      <c r="B60" s="65"/>
      <c r="C60" s="66" t="s">
        <v>8</v>
      </c>
      <c r="D60" s="12">
        <f>80464-D59-D58</f>
        <v>2784</v>
      </c>
      <c r="E60" s="12">
        <v>8000</v>
      </c>
      <c r="F60" s="25">
        <f>E60*100/D60</f>
        <v>287.35632183908046</v>
      </c>
    </row>
    <row r="61" spans="1:6" ht="13.5" customHeight="1">
      <c r="A61" s="63"/>
      <c r="B61" s="67"/>
      <c r="C61" s="66" t="s">
        <v>9</v>
      </c>
      <c r="D61" s="12"/>
      <c r="E61" s="12"/>
      <c r="F61" s="45"/>
    </row>
    <row r="62" spans="1:6" ht="27" customHeight="1">
      <c r="A62" s="23"/>
      <c r="B62" s="55">
        <v>71013</v>
      </c>
      <c r="C62" s="59" t="s">
        <v>21</v>
      </c>
      <c r="D62" s="10">
        <f>D64</f>
        <v>0</v>
      </c>
      <c r="E62" s="10">
        <f>E64</f>
        <v>25000</v>
      </c>
      <c r="F62" s="25"/>
    </row>
    <row r="63" spans="1:6" ht="12.75">
      <c r="A63" s="23"/>
      <c r="B63" s="68"/>
      <c r="C63" s="44" t="s">
        <v>6</v>
      </c>
      <c r="D63" s="11"/>
      <c r="E63" s="11"/>
      <c r="F63" s="25"/>
    </row>
    <row r="64" spans="1:6" ht="12.75">
      <c r="A64" s="23"/>
      <c r="B64" s="53"/>
      <c r="C64" s="44" t="s">
        <v>7</v>
      </c>
      <c r="D64" s="11">
        <f>SUM(D65:D68)</f>
        <v>0</v>
      </c>
      <c r="E64" s="11">
        <v>25000</v>
      </c>
      <c r="F64" s="45"/>
    </row>
    <row r="65" spans="1:6" ht="13.5" customHeight="1">
      <c r="A65" s="23"/>
      <c r="B65" s="53"/>
      <c r="C65" s="47" t="s">
        <v>91</v>
      </c>
      <c r="D65" s="11"/>
      <c r="E65" s="11"/>
      <c r="F65" s="45"/>
    </row>
    <row r="66" spans="1:6" ht="12.75">
      <c r="A66" s="23"/>
      <c r="B66" s="53"/>
      <c r="C66" s="47" t="s">
        <v>92</v>
      </c>
      <c r="D66" s="11"/>
      <c r="E66" s="11"/>
      <c r="F66" s="45"/>
    </row>
    <row r="67" spans="1:6" ht="12.75">
      <c r="A67" s="23"/>
      <c r="B67" s="53"/>
      <c r="C67" s="6" t="s">
        <v>8</v>
      </c>
      <c r="D67" s="11">
        <v>0</v>
      </c>
      <c r="E67" s="11">
        <v>25000</v>
      </c>
      <c r="F67" s="45"/>
    </row>
    <row r="68" spans="1:6" ht="12.75">
      <c r="A68" s="23"/>
      <c r="B68" s="60"/>
      <c r="C68" s="6" t="s">
        <v>9</v>
      </c>
      <c r="D68" s="11"/>
      <c r="E68" s="11"/>
      <c r="F68" s="25"/>
    </row>
    <row r="69" spans="1:6" ht="25.5">
      <c r="A69" s="23"/>
      <c r="B69" s="24">
        <v>71014</v>
      </c>
      <c r="C69" s="59" t="s">
        <v>22</v>
      </c>
      <c r="D69" s="10">
        <f>D71</f>
        <v>10319</v>
      </c>
      <c r="E69" s="10">
        <f>E71</f>
        <v>10320</v>
      </c>
      <c r="F69" s="25">
        <f aca="true" t="shared" si="1" ref="F69:F117">E69*100/D69</f>
        <v>100.00969086151758</v>
      </c>
    </row>
    <row r="70" spans="1:6" ht="12.75">
      <c r="A70" s="23"/>
      <c r="B70" s="68"/>
      <c r="C70" s="44" t="s">
        <v>6</v>
      </c>
      <c r="D70" s="11"/>
      <c r="E70" s="11"/>
      <c r="F70" s="25"/>
    </row>
    <row r="71" spans="1:6" ht="12.75">
      <c r="A71" s="23"/>
      <c r="B71" s="53"/>
      <c r="C71" s="44" t="s">
        <v>7</v>
      </c>
      <c r="D71" s="11">
        <f>SUM(D72:D75)</f>
        <v>10319</v>
      </c>
      <c r="E71" s="11">
        <v>10320</v>
      </c>
      <c r="F71" s="45">
        <f t="shared" si="1"/>
        <v>100.00969086151758</v>
      </c>
    </row>
    <row r="72" spans="1:6" ht="12.75">
      <c r="A72" s="23"/>
      <c r="B72" s="53"/>
      <c r="C72" s="47" t="s">
        <v>91</v>
      </c>
      <c r="D72" s="11"/>
      <c r="E72" s="11"/>
      <c r="F72" s="45"/>
    </row>
    <row r="73" spans="1:6" ht="12.75">
      <c r="A73" s="23"/>
      <c r="B73" s="53"/>
      <c r="C73" s="47" t="s">
        <v>92</v>
      </c>
      <c r="D73" s="11"/>
      <c r="E73" s="11"/>
      <c r="F73" s="45"/>
    </row>
    <row r="74" spans="1:6" ht="12.75">
      <c r="A74" s="23"/>
      <c r="B74" s="53"/>
      <c r="C74" s="6" t="s">
        <v>8</v>
      </c>
      <c r="D74" s="11">
        <v>10319</v>
      </c>
      <c r="E74" s="11">
        <v>10320</v>
      </c>
      <c r="F74" s="45">
        <f t="shared" si="1"/>
        <v>100.00969086151758</v>
      </c>
    </row>
    <row r="75" spans="1:6" ht="12.75">
      <c r="A75" s="23"/>
      <c r="B75" s="60"/>
      <c r="C75" s="6" t="s">
        <v>9</v>
      </c>
      <c r="D75" s="11"/>
      <c r="E75" s="11"/>
      <c r="F75" s="25"/>
    </row>
    <row r="76" spans="1:6" ht="12.75">
      <c r="A76" s="23"/>
      <c r="B76" s="24">
        <v>71015</v>
      </c>
      <c r="C76" s="5" t="s">
        <v>23</v>
      </c>
      <c r="D76" s="10">
        <f>D77+D78</f>
        <v>204373</v>
      </c>
      <c r="E76" s="10">
        <f>E77+E78</f>
        <v>279220</v>
      </c>
      <c r="F76" s="25">
        <f t="shared" si="1"/>
        <v>136.62274370880692</v>
      </c>
    </row>
    <row r="77" spans="1:6" ht="12.75">
      <c r="A77" s="23"/>
      <c r="B77" s="68"/>
      <c r="C77" s="44" t="s">
        <v>6</v>
      </c>
      <c r="D77" s="11">
        <v>4900</v>
      </c>
      <c r="E77" s="11"/>
      <c r="F77" s="25">
        <f t="shared" si="1"/>
        <v>0</v>
      </c>
    </row>
    <row r="78" spans="1:6" ht="12.75">
      <c r="A78" s="23"/>
      <c r="B78" s="53"/>
      <c r="C78" s="44" t="s">
        <v>7</v>
      </c>
      <c r="D78" s="11">
        <f>SUM(D79:D82)</f>
        <v>199473</v>
      </c>
      <c r="E78" s="11">
        <f>E79+E80+E81</f>
        <v>279220</v>
      </c>
      <c r="F78" s="45">
        <f t="shared" si="1"/>
        <v>139.9788442546109</v>
      </c>
    </row>
    <row r="79" spans="1:6" ht="12.75">
      <c r="A79" s="23"/>
      <c r="B79" s="53"/>
      <c r="C79" s="47" t="s">
        <v>91</v>
      </c>
      <c r="D79" s="11">
        <v>135850</v>
      </c>
      <c r="E79" s="11">
        <v>189750</v>
      </c>
      <c r="F79" s="45">
        <f t="shared" si="1"/>
        <v>139.67611336032388</v>
      </c>
    </row>
    <row r="80" spans="1:6" ht="12.75">
      <c r="A80" s="23"/>
      <c r="B80" s="53"/>
      <c r="C80" s="47" t="s">
        <v>92</v>
      </c>
      <c r="D80" s="11">
        <v>27000</v>
      </c>
      <c r="E80" s="11">
        <v>38650</v>
      </c>
      <c r="F80" s="45">
        <f t="shared" si="1"/>
        <v>143.14814814814815</v>
      </c>
    </row>
    <row r="81" spans="1:6" ht="12.75">
      <c r="A81" s="23"/>
      <c r="B81" s="53"/>
      <c r="C81" s="6" t="s">
        <v>8</v>
      </c>
      <c r="D81" s="11">
        <f>204373-D80-D79-D77</f>
        <v>36623</v>
      </c>
      <c r="E81" s="11">
        <v>50820</v>
      </c>
      <c r="F81" s="45">
        <f t="shared" si="1"/>
        <v>138.7652568058324</v>
      </c>
    </row>
    <row r="82" spans="1:6" ht="12.75">
      <c r="A82" s="54"/>
      <c r="B82" s="60"/>
      <c r="C82" s="6" t="s">
        <v>9</v>
      </c>
      <c r="D82" s="11"/>
      <c r="E82" s="11"/>
      <c r="F82" s="45"/>
    </row>
    <row r="83" spans="1:6" ht="18.75" customHeight="1">
      <c r="A83" s="65">
        <v>750</v>
      </c>
      <c r="B83" s="5"/>
      <c r="C83" s="5" t="s">
        <v>24</v>
      </c>
      <c r="D83" s="10">
        <f>D84+D91+D98+D105+D112</f>
        <v>3564474</v>
      </c>
      <c r="E83" s="10">
        <f>E84+E91+E98+E105+E112</f>
        <v>3519563</v>
      </c>
      <c r="F83" s="25">
        <f t="shared" si="1"/>
        <v>98.74003850217451</v>
      </c>
    </row>
    <row r="84" spans="1:6" ht="12.75">
      <c r="A84" s="51"/>
      <c r="B84" s="24">
        <v>75011</v>
      </c>
      <c r="C84" s="2" t="s">
        <v>25</v>
      </c>
      <c r="D84" s="10">
        <f>D86</f>
        <v>100974</v>
      </c>
      <c r="E84" s="10">
        <f>E86</f>
        <v>101563</v>
      </c>
      <c r="F84" s="25">
        <f t="shared" si="1"/>
        <v>100.58331847802404</v>
      </c>
    </row>
    <row r="85" spans="1:6" ht="12.75">
      <c r="A85" s="23"/>
      <c r="B85" s="68"/>
      <c r="C85" s="44" t="s">
        <v>6</v>
      </c>
      <c r="D85" s="11"/>
      <c r="E85" s="11"/>
      <c r="F85" s="25"/>
    </row>
    <row r="86" spans="1:6" ht="12.75">
      <c r="A86" s="23"/>
      <c r="B86" s="53"/>
      <c r="C86" s="44" t="s">
        <v>7</v>
      </c>
      <c r="D86" s="11">
        <f>SUM(D87:D90)</f>
        <v>100974</v>
      </c>
      <c r="E86" s="11">
        <f>E87+E88+E89</f>
        <v>101563</v>
      </c>
      <c r="F86" s="45">
        <f t="shared" si="1"/>
        <v>100.58331847802404</v>
      </c>
    </row>
    <row r="87" spans="1:6" ht="12.75">
      <c r="A87" s="23"/>
      <c r="B87" s="53"/>
      <c r="C87" s="47" t="s">
        <v>91</v>
      </c>
      <c r="D87" s="11">
        <f>72534+6146</f>
        <v>78680</v>
      </c>
      <c r="E87" s="11">
        <v>79000</v>
      </c>
      <c r="F87" s="45">
        <f t="shared" si="1"/>
        <v>100.40671072699543</v>
      </c>
    </row>
    <row r="88" spans="1:6" ht="12.75">
      <c r="A88" s="23"/>
      <c r="B88" s="53"/>
      <c r="C88" s="47" t="s">
        <v>92</v>
      </c>
      <c r="D88" s="11">
        <f>13535+1928</f>
        <v>15463</v>
      </c>
      <c r="E88" s="11">
        <v>16000</v>
      </c>
      <c r="F88" s="45">
        <f t="shared" si="1"/>
        <v>103.47280605315916</v>
      </c>
    </row>
    <row r="89" spans="1:6" ht="12.75">
      <c r="A89" s="23"/>
      <c r="B89" s="53"/>
      <c r="C89" s="6" t="s">
        <v>8</v>
      </c>
      <c r="D89" s="11">
        <f>100974-D88-D87</f>
        <v>6831</v>
      </c>
      <c r="E89" s="11">
        <v>6563</v>
      </c>
      <c r="F89" s="45">
        <f t="shared" si="1"/>
        <v>96.07670912018737</v>
      </c>
    </row>
    <row r="90" spans="1:6" ht="12.75">
      <c r="A90" s="23"/>
      <c r="B90" s="60"/>
      <c r="C90" s="6" t="s">
        <v>9</v>
      </c>
      <c r="D90" s="11"/>
      <c r="E90" s="11"/>
      <c r="F90" s="45"/>
    </row>
    <row r="91" spans="1:6" ht="12.75">
      <c r="A91" s="23"/>
      <c r="B91" s="24">
        <v>75019</v>
      </c>
      <c r="C91" s="5" t="s">
        <v>26</v>
      </c>
      <c r="D91" s="10">
        <f>D93</f>
        <v>174000</v>
      </c>
      <c r="E91" s="10">
        <f>E93</f>
        <v>174000</v>
      </c>
      <c r="F91" s="25">
        <f t="shared" si="1"/>
        <v>100</v>
      </c>
    </row>
    <row r="92" spans="1:6" ht="12.75">
      <c r="A92" s="23"/>
      <c r="B92" s="68"/>
      <c r="C92" s="54" t="s">
        <v>6</v>
      </c>
      <c r="D92" s="14"/>
      <c r="E92" s="11"/>
      <c r="F92" s="25"/>
    </row>
    <row r="93" spans="1:6" ht="12.75">
      <c r="A93" s="23"/>
      <c r="B93" s="53"/>
      <c r="C93" s="44" t="s">
        <v>7</v>
      </c>
      <c r="D93" s="11">
        <f>SUM(D94:D97)</f>
        <v>174000</v>
      </c>
      <c r="E93" s="11">
        <v>174000</v>
      </c>
      <c r="F93" s="45">
        <f t="shared" si="1"/>
        <v>100</v>
      </c>
    </row>
    <row r="94" spans="1:6" ht="12.75">
      <c r="A94" s="23"/>
      <c r="B94" s="53"/>
      <c r="C94" s="47" t="s">
        <v>91</v>
      </c>
      <c r="D94" s="11"/>
      <c r="E94" s="11"/>
      <c r="F94" s="25"/>
    </row>
    <row r="95" spans="1:6" ht="12.75">
      <c r="A95" s="23"/>
      <c r="B95" s="53"/>
      <c r="C95" s="47" t="s">
        <v>92</v>
      </c>
      <c r="D95" s="11"/>
      <c r="E95" s="11"/>
      <c r="F95" s="25"/>
    </row>
    <row r="96" spans="1:6" ht="12.75">
      <c r="A96" s="23"/>
      <c r="B96" s="53"/>
      <c r="C96" s="6" t="s">
        <v>8</v>
      </c>
      <c r="D96" s="11">
        <v>174000</v>
      </c>
      <c r="E96" s="11">
        <v>174000</v>
      </c>
      <c r="F96" s="25">
        <f t="shared" si="1"/>
        <v>100</v>
      </c>
    </row>
    <row r="97" spans="1:6" ht="12.75">
      <c r="A97" s="23"/>
      <c r="B97" s="60"/>
      <c r="C97" s="69" t="s">
        <v>9</v>
      </c>
      <c r="D97" s="13"/>
      <c r="E97" s="11"/>
      <c r="F97" s="25"/>
    </row>
    <row r="98" spans="1:6" ht="12.75">
      <c r="A98" s="23"/>
      <c r="B98" s="24">
        <v>75020</v>
      </c>
      <c r="C98" s="5" t="s">
        <v>27</v>
      </c>
      <c r="D98" s="10">
        <f>D99+D100</f>
        <v>3209500</v>
      </c>
      <c r="E98" s="10">
        <f>E99+E100</f>
        <v>3154000</v>
      </c>
      <c r="F98" s="25">
        <f t="shared" si="1"/>
        <v>98.27075868515345</v>
      </c>
    </row>
    <row r="99" spans="1:6" ht="12.75">
      <c r="A99" s="23"/>
      <c r="B99" s="68"/>
      <c r="C99" s="54" t="s">
        <v>6</v>
      </c>
      <c r="D99" s="11">
        <v>35000</v>
      </c>
      <c r="E99" s="11"/>
      <c r="F99" s="45">
        <f t="shared" si="1"/>
        <v>0</v>
      </c>
    </row>
    <row r="100" spans="1:6" ht="12.75">
      <c r="A100" s="23"/>
      <c r="B100" s="53"/>
      <c r="C100" s="44" t="s">
        <v>7</v>
      </c>
      <c r="D100" s="11">
        <f>SUM(D101:D104)</f>
        <v>3174500</v>
      </c>
      <c r="E100" s="11">
        <f>E101+E102+E103</f>
        <v>3154000</v>
      </c>
      <c r="F100" s="45">
        <f t="shared" si="1"/>
        <v>99.3542290124429</v>
      </c>
    </row>
    <row r="101" spans="1:6" ht="12.75">
      <c r="A101" s="23"/>
      <c r="B101" s="53"/>
      <c r="C101" s="47" t="s">
        <v>91</v>
      </c>
      <c r="D101" s="11">
        <f>1566275+108825</f>
        <v>1675100</v>
      </c>
      <c r="E101" s="11">
        <v>1663000</v>
      </c>
      <c r="F101" s="45">
        <f t="shared" si="1"/>
        <v>99.27765506536923</v>
      </c>
    </row>
    <row r="102" spans="1:6" ht="12.75">
      <c r="A102" s="23"/>
      <c r="B102" s="53"/>
      <c r="C102" s="47" t="s">
        <v>92</v>
      </c>
      <c r="D102" s="11">
        <f>288900+40000</f>
        <v>328900</v>
      </c>
      <c r="E102" s="11">
        <v>320500</v>
      </c>
      <c r="F102" s="45">
        <f t="shared" si="1"/>
        <v>97.44603222864093</v>
      </c>
    </row>
    <row r="103" spans="1:6" ht="12.75">
      <c r="A103" s="23"/>
      <c r="B103" s="53"/>
      <c r="C103" s="6" t="s">
        <v>8</v>
      </c>
      <c r="D103" s="11">
        <f>3209500-D102-D101-D99</f>
        <v>1170500</v>
      </c>
      <c r="E103" s="11">
        <v>1170500</v>
      </c>
      <c r="F103" s="45">
        <f t="shared" si="1"/>
        <v>100</v>
      </c>
    </row>
    <row r="104" spans="1:6" ht="12.75">
      <c r="A104" s="23"/>
      <c r="B104" s="60"/>
      <c r="C104" s="69" t="s">
        <v>9</v>
      </c>
      <c r="D104" s="13"/>
      <c r="E104" s="11"/>
      <c r="F104" s="45"/>
    </row>
    <row r="105" spans="1:6" ht="12.75">
      <c r="A105" s="23"/>
      <c r="B105" s="5">
        <v>75045</v>
      </c>
      <c r="C105" s="5" t="s">
        <v>28</v>
      </c>
      <c r="D105" s="10">
        <f>D107</f>
        <v>20000</v>
      </c>
      <c r="E105" s="10">
        <f>E107</f>
        <v>21000</v>
      </c>
      <c r="F105" s="25">
        <f t="shared" si="1"/>
        <v>105</v>
      </c>
    </row>
    <row r="106" spans="1:6" ht="12.75">
      <c r="A106" s="23"/>
      <c r="B106" s="68"/>
      <c r="C106" s="54" t="s">
        <v>6</v>
      </c>
      <c r="D106" s="14"/>
      <c r="E106" s="11"/>
      <c r="F106" s="25"/>
    </row>
    <row r="107" spans="1:6" ht="12.75">
      <c r="A107" s="23"/>
      <c r="B107" s="53"/>
      <c r="C107" s="44" t="s">
        <v>7</v>
      </c>
      <c r="D107" s="15">
        <f>SUM(D108:D111)</f>
        <v>20000</v>
      </c>
      <c r="E107" s="15">
        <f>E108+E109+E110</f>
        <v>21000</v>
      </c>
      <c r="F107" s="45">
        <f t="shared" si="1"/>
        <v>105</v>
      </c>
    </row>
    <row r="108" spans="1:6" ht="12.75">
      <c r="A108" s="23"/>
      <c r="B108" s="53"/>
      <c r="C108" s="47" t="s">
        <v>91</v>
      </c>
      <c r="D108" s="11">
        <v>4712</v>
      </c>
      <c r="E108" s="11">
        <v>7000</v>
      </c>
      <c r="F108" s="45">
        <f t="shared" si="1"/>
        <v>148.55687606112053</v>
      </c>
    </row>
    <row r="109" spans="1:6" ht="12.75">
      <c r="A109" s="23"/>
      <c r="B109" s="53"/>
      <c r="C109" s="47" t="s">
        <v>92</v>
      </c>
      <c r="D109" s="11">
        <f>1044+126</f>
        <v>1170</v>
      </c>
      <c r="E109" s="11">
        <v>1400</v>
      </c>
      <c r="F109" s="45">
        <f t="shared" si="1"/>
        <v>119.65811965811966</v>
      </c>
    </row>
    <row r="110" spans="1:6" ht="12.75">
      <c r="A110" s="23"/>
      <c r="B110" s="53"/>
      <c r="C110" s="6" t="s">
        <v>8</v>
      </c>
      <c r="D110" s="11">
        <f>20000-D109-D108</f>
        <v>14118</v>
      </c>
      <c r="E110" s="11">
        <v>12600</v>
      </c>
      <c r="F110" s="45">
        <f t="shared" si="1"/>
        <v>89.24776880577986</v>
      </c>
    </row>
    <row r="111" spans="1:6" ht="12.75">
      <c r="A111" s="23"/>
      <c r="B111" s="60"/>
      <c r="C111" s="6" t="s">
        <v>9</v>
      </c>
      <c r="D111" s="11"/>
      <c r="E111" s="11"/>
      <c r="F111" s="45"/>
    </row>
    <row r="112" spans="1:6" ht="12.75">
      <c r="A112" s="23"/>
      <c r="B112" s="62">
        <v>75075</v>
      </c>
      <c r="C112" s="5" t="s">
        <v>70</v>
      </c>
      <c r="D112" s="10">
        <f>D114</f>
        <v>60000</v>
      </c>
      <c r="E112" s="10">
        <f>E114</f>
        <v>69000</v>
      </c>
      <c r="F112" s="45">
        <f t="shared" si="1"/>
        <v>115</v>
      </c>
    </row>
    <row r="113" spans="1:6" ht="12.75">
      <c r="A113" s="23"/>
      <c r="B113" s="68"/>
      <c r="C113" s="44" t="s">
        <v>6</v>
      </c>
      <c r="D113" s="11"/>
      <c r="E113" s="11"/>
      <c r="F113" s="45"/>
    </row>
    <row r="114" spans="1:6" ht="12.75">
      <c r="A114" s="23"/>
      <c r="B114" s="53"/>
      <c r="C114" s="44" t="s">
        <v>7</v>
      </c>
      <c r="D114" s="11">
        <f>SUM(D115:D118)</f>
        <v>60000</v>
      </c>
      <c r="E114" s="11">
        <v>69000</v>
      </c>
      <c r="F114" s="45">
        <f t="shared" si="1"/>
        <v>115</v>
      </c>
    </row>
    <row r="115" spans="1:6" ht="12.75">
      <c r="A115" s="23"/>
      <c r="B115" s="53"/>
      <c r="C115" s="47" t="s">
        <v>91</v>
      </c>
      <c r="D115" s="11"/>
      <c r="E115" s="11"/>
      <c r="F115" s="45"/>
    </row>
    <row r="116" spans="1:6" ht="12.75">
      <c r="A116" s="23"/>
      <c r="B116" s="53"/>
      <c r="C116" s="47" t="s">
        <v>92</v>
      </c>
      <c r="D116" s="11">
        <f>1700+250</f>
        <v>1950</v>
      </c>
      <c r="E116" s="11"/>
      <c r="F116" s="45"/>
    </row>
    <row r="117" spans="1:6" ht="12.75">
      <c r="A117" s="23"/>
      <c r="B117" s="53"/>
      <c r="C117" s="6" t="s">
        <v>8</v>
      </c>
      <c r="D117" s="11">
        <f>60000-D116</f>
        <v>58050</v>
      </c>
      <c r="E117" s="11">
        <v>69000</v>
      </c>
      <c r="F117" s="45">
        <f t="shared" si="1"/>
        <v>118.86304909560724</v>
      </c>
    </row>
    <row r="118" spans="1:6" ht="12.75">
      <c r="A118" s="23"/>
      <c r="B118" s="60"/>
      <c r="C118" s="6" t="s">
        <v>9</v>
      </c>
      <c r="D118" s="11"/>
      <c r="E118" s="11"/>
      <c r="F118" s="45"/>
    </row>
    <row r="119" spans="1:6" ht="12.75">
      <c r="A119" s="67">
        <v>752</v>
      </c>
      <c r="B119" s="5"/>
      <c r="C119" s="2" t="s">
        <v>29</v>
      </c>
      <c r="D119" s="10">
        <v>3000</v>
      </c>
      <c r="E119" s="10">
        <v>3000</v>
      </c>
      <c r="F119" s="25">
        <f>E119*100/D119</f>
        <v>100</v>
      </c>
    </row>
    <row r="120" spans="1:6" ht="12.75">
      <c r="A120" s="51"/>
      <c r="B120" s="5">
        <v>75212</v>
      </c>
      <c r="C120" s="5" t="s">
        <v>30</v>
      </c>
      <c r="D120" s="10">
        <v>3000</v>
      </c>
      <c r="E120" s="10">
        <v>3000</v>
      </c>
      <c r="F120" s="25">
        <f>E120*100/D120</f>
        <v>100</v>
      </c>
    </row>
    <row r="121" spans="1:6" ht="12.75">
      <c r="A121" s="23"/>
      <c r="B121" s="51"/>
      <c r="C121" s="54" t="s">
        <v>6</v>
      </c>
      <c r="D121" s="14"/>
      <c r="E121" s="11"/>
      <c r="F121" s="25"/>
    </row>
    <row r="122" spans="1:6" ht="12.75">
      <c r="A122" s="23"/>
      <c r="B122" s="23"/>
      <c r="C122" s="44" t="s">
        <v>7</v>
      </c>
      <c r="D122" s="11">
        <f>SUM(D123:D126)</f>
        <v>3000</v>
      </c>
      <c r="E122" s="11">
        <v>3000</v>
      </c>
      <c r="F122" s="45">
        <f>E122*100/D122</f>
        <v>100</v>
      </c>
    </row>
    <row r="123" spans="1:6" ht="12.75">
      <c r="A123" s="23"/>
      <c r="B123" s="23"/>
      <c r="C123" s="47" t="s">
        <v>91</v>
      </c>
      <c r="D123" s="11"/>
      <c r="E123" s="11"/>
      <c r="F123" s="45"/>
    </row>
    <row r="124" spans="1:6" ht="12.75">
      <c r="A124" s="23"/>
      <c r="B124" s="23"/>
      <c r="C124" s="47" t="s">
        <v>92</v>
      </c>
      <c r="D124" s="11"/>
      <c r="E124" s="11"/>
      <c r="F124" s="45"/>
    </row>
    <row r="125" spans="1:6" ht="12.75">
      <c r="A125" s="23"/>
      <c r="B125" s="23"/>
      <c r="C125" s="6" t="s">
        <v>8</v>
      </c>
      <c r="D125" s="11">
        <v>3000</v>
      </c>
      <c r="E125" s="11">
        <v>3000</v>
      </c>
      <c r="F125" s="45">
        <f>E125*100/D125</f>
        <v>100</v>
      </c>
    </row>
    <row r="126" spans="1:6" ht="12.75">
      <c r="A126" s="54"/>
      <c r="B126" s="54"/>
      <c r="C126" s="6" t="s">
        <v>9</v>
      </c>
      <c r="D126" s="11"/>
      <c r="E126" s="11"/>
      <c r="F126" s="45"/>
    </row>
    <row r="127" spans="1:6" ht="24">
      <c r="A127" s="5">
        <v>754</v>
      </c>
      <c r="B127" s="70"/>
      <c r="C127" s="4" t="s">
        <v>31</v>
      </c>
      <c r="D127" s="10">
        <f>D128+D135+D142</f>
        <v>2357400</v>
      </c>
      <c r="E127" s="10">
        <f>E128+E135+E142+E149</f>
        <v>2913096</v>
      </c>
      <c r="F127" s="10">
        <f>F135+F142</f>
        <v>224.06648482782134</v>
      </c>
    </row>
    <row r="128" spans="1:6" ht="12.75">
      <c r="A128" s="113"/>
      <c r="B128" s="24">
        <v>75402</v>
      </c>
      <c r="C128" s="2" t="s">
        <v>94</v>
      </c>
      <c r="D128" s="10">
        <f>D129+D130</f>
        <v>10000</v>
      </c>
      <c r="E128" s="10">
        <f>E129+E130</f>
        <v>0</v>
      </c>
      <c r="F128" s="25">
        <f>E128*100/D128</f>
        <v>0</v>
      </c>
    </row>
    <row r="129" spans="1:6" ht="12.75">
      <c r="A129" s="111"/>
      <c r="B129" s="51"/>
      <c r="C129" s="44" t="s">
        <v>6</v>
      </c>
      <c r="D129" s="11">
        <v>10000</v>
      </c>
      <c r="E129" s="11"/>
      <c r="F129" s="25"/>
    </row>
    <row r="130" spans="1:6" ht="12.75">
      <c r="A130" s="111"/>
      <c r="B130" s="23"/>
      <c r="C130" s="44" t="s">
        <v>7</v>
      </c>
      <c r="D130" s="11">
        <f>SUM(D131:D134)</f>
        <v>0</v>
      </c>
      <c r="E130" s="11"/>
      <c r="F130" s="45"/>
    </row>
    <row r="131" spans="1:6" ht="12.75">
      <c r="A131" s="111"/>
      <c r="B131" s="23"/>
      <c r="C131" s="47" t="s">
        <v>91</v>
      </c>
      <c r="D131" s="11"/>
      <c r="E131" s="11"/>
      <c r="F131" s="45"/>
    </row>
    <row r="132" spans="1:6" ht="12.75">
      <c r="A132" s="111"/>
      <c r="B132" s="23"/>
      <c r="C132" s="47" t="s">
        <v>92</v>
      </c>
      <c r="D132" s="11"/>
      <c r="E132" s="11"/>
      <c r="F132" s="45"/>
    </row>
    <row r="133" spans="1:6" ht="12.75">
      <c r="A133" s="111"/>
      <c r="B133" s="23"/>
      <c r="C133" s="6" t="s">
        <v>8</v>
      </c>
      <c r="D133" s="11"/>
      <c r="E133" s="11"/>
      <c r="F133" s="45"/>
    </row>
    <row r="134" spans="1:6" ht="12.75">
      <c r="A134" s="111"/>
      <c r="B134" s="54"/>
      <c r="C134" s="6" t="s">
        <v>9</v>
      </c>
      <c r="D134" s="11"/>
      <c r="E134" s="11"/>
      <c r="F134" s="45"/>
    </row>
    <row r="135" spans="1:6" ht="12.75">
      <c r="A135" s="111"/>
      <c r="B135" s="24">
        <v>75405</v>
      </c>
      <c r="C135" s="2" t="s">
        <v>32</v>
      </c>
      <c r="D135" s="10">
        <v>1000</v>
      </c>
      <c r="E135" s="10">
        <v>1000</v>
      </c>
      <c r="F135" s="25">
        <f>E135*100/D135</f>
        <v>100</v>
      </c>
    </row>
    <row r="136" spans="1:6" ht="12.75">
      <c r="A136" s="111"/>
      <c r="B136" s="51"/>
      <c r="C136" s="44" t="s">
        <v>6</v>
      </c>
      <c r="D136" s="11"/>
      <c r="E136" s="11"/>
      <c r="F136" s="25"/>
    </row>
    <row r="137" spans="1:6" ht="12.75">
      <c r="A137" s="23"/>
      <c r="B137" s="23"/>
      <c r="C137" s="44" t="s">
        <v>7</v>
      </c>
      <c r="D137" s="11">
        <f>SUM(D138:D141)</f>
        <v>1000</v>
      </c>
      <c r="E137" s="11">
        <v>1000</v>
      </c>
      <c r="F137" s="45">
        <f>E137*100/D137</f>
        <v>100</v>
      </c>
    </row>
    <row r="138" spans="1:6" ht="12.75">
      <c r="A138" s="23"/>
      <c r="B138" s="23"/>
      <c r="C138" s="47" t="s">
        <v>91</v>
      </c>
      <c r="D138" s="11"/>
      <c r="E138" s="11"/>
      <c r="F138" s="45"/>
    </row>
    <row r="139" spans="1:6" ht="12.75">
      <c r="A139" s="23"/>
      <c r="B139" s="23"/>
      <c r="C139" s="47" t="s">
        <v>92</v>
      </c>
      <c r="D139" s="11"/>
      <c r="E139" s="11"/>
      <c r="F139" s="45"/>
    </row>
    <row r="140" spans="1:6" ht="12.75">
      <c r="A140" s="23"/>
      <c r="B140" s="23"/>
      <c r="C140" s="6" t="s">
        <v>8</v>
      </c>
      <c r="D140" s="11">
        <v>1000</v>
      </c>
      <c r="E140" s="11">
        <v>1000</v>
      </c>
      <c r="F140" s="45">
        <v>100</v>
      </c>
    </row>
    <row r="141" spans="1:6" ht="12.75">
      <c r="A141" s="23"/>
      <c r="B141" s="54"/>
      <c r="C141" s="6" t="s">
        <v>9</v>
      </c>
      <c r="D141" s="11"/>
      <c r="E141" s="11"/>
      <c r="F141" s="45"/>
    </row>
    <row r="142" spans="1:6" ht="25.5">
      <c r="A142" s="23"/>
      <c r="B142" s="24">
        <v>75411</v>
      </c>
      <c r="C142" s="59" t="s">
        <v>33</v>
      </c>
      <c r="D142" s="10">
        <f>D144+D143</f>
        <v>2346400</v>
      </c>
      <c r="E142" s="10">
        <f>E144+E143</f>
        <v>2911096</v>
      </c>
      <c r="F142" s="25">
        <f>E142*100/D142</f>
        <v>124.06648482782134</v>
      </c>
    </row>
    <row r="143" spans="1:6" ht="12.75">
      <c r="A143" s="23"/>
      <c r="B143" s="51"/>
      <c r="C143" s="44" t="s">
        <v>6</v>
      </c>
      <c r="D143" s="11">
        <v>10000</v>
      </c>
      <c r="E143" s="11"/>
      <c r="F143" s="45"/>
    </row>
    <row r="144" spans="1:6" ht="12.75">
      <c r="A144" s="23"/>
      <c r="B144" s="23"/>
      <c r="C144" s="44" t="s">
        <v>7</v>
      </c>
      <c r="D144" s="11">
        <f>SUM(D145:D148)</f>
        <v>2336400</v>
      </c>
      <c r="E144" s="11">
        <f>E145+E146+E147</f>
        <v>2911096</v>
      </c>
      <c r="F144" s="45">
        <f>E144*100/D144</f>
        <v>124.5975004280089</v>
      </c>
    </row>
    <row r="145" spans="1:6" ht="12.75">
      <c r="A145" s="23"/>
      <c r="B145" s="23"/>
      <c r="C145" s="47" t="s">
        <v>91</v>
      </c>
      <c r="D145" s="11">
        <f>17888+2227+1597110+64359+134574</f>
        <v>1816158</v>
      </c>
      <c r="E145" s="11">
        <v>2354908</v>
      </c>
      <c r="F145" s="45">
        <f>E145*100/D145</f>
        <v>129.66426929815577</v>
      </c>
    </row>
    <row r="146" spans="1:6" ht="12.75">
      <c r="A146" s="23"/>
      <c r="B146" s="23"/>
      <c r="C146" s="47" t="s">
        <v>92</v>
      </c>
      <c r="D146" s="11">
        <f>3800+500</f>
        <v>4300</v>
      </c>
      <c r="E146" s="11">
        <v>6800</v>
      </c>
      <c r="F146" s="45">
        <f>E146*100/D146</f>
        <v>158.13953488372093</v>
      </c>
    </row>
    <row r="147" spans="1:6" ht="12.75">
      <c r="A147" s="23"/>
      <c r="B147" s="23"/>
      <c r="C147" s="6" t="s">
        <v>8</v>
      </c>
      <c r="D147" s="11">
        <f>2346400-D143-D145-D146-D148</f>
        <v>515942</v>
      </c>
      <c r="E147" s="11">
        <f>2911096-E145-E146-E148</f>
        <v>549388</v>
      </c>
      <c r="F147" s="45">
        <f>E147*100/D147</f>
        <v>106.4825116001411</v>
      </c>
    </row>
    <row r="148" spans="1:6" ht="12.75">
      <c r="A148" s="23"/>
      <c r="B148" s="54"/>
      <c r="C148" s="6" t="s">
        <v>9</v>
      </c>
      <c r="D148" s="11"/>
      <c r="E148" s="11"/>
      <c r="F148" s="25"/>
    </row>
    <row r="149" spans="1:6" ht="12.75">
      <c r="A149" s="23"/>
      <c r="B149" s="97">
        <v>75414</v>
      </c>
      <c r="C149" s="79" t="s">
        <v>97</v>
      </c>
      <c r="D149" s="11"/>
      <c r="E149" s="30">
        <f>E151</f>
        <v>1000</v>
      </c>
      <c r="F149" s="25"/>
    </row>
    <row r="150" spans="1:6" ht="12.75">
      <c r="A150" s="23"/>
      <c r="B150" s="54"/>
      <c r="C150" s="44" t="s">
        <v>6</v>
      </c>
      <c r="D150" s="11"/>
      <c r="E150" s="11"/>
      <c r="F150" s="25"/>
    </row>
    <row r="151" spans="1:6" ht="12.75">
      <c r="A151" s="23"/>
      <c r="B151" s="54"/>
      <c r="C151" s="44" t="s">
        <v>7</v>
      </c>
      <c r="D151" s="11"/>
      <c r="E151" s="11">
        <v>1000</v>
      </c>
      <c r="F151" s="25"/>
    </row>
    <row r="152" spans="1:6" ht="12.75">
      <c r="A152" s="23"/>
      <c r="B152" s="54"/>
      <c r="C152" s="47" t="s">
        <v>91</v>
      </c>
      <c r="D152" s="11"/>
      <c r="E152" s="11"/>
      <c r="F152" s="25"/>
    </row>
    <row r="153" spans="1:6" ht="12.75">
      <c r="A153" s="23"/>
      <c r="B153" s="54"/>
      <c r="C153" s="47" t="s">
        <v>92</v>
      </c>
      <c r="D153" s="11"/>
      <c r="E153" s="11"/>
      <c r="F153" s="25"/>
    </row>
    <row r="154" spans="1:6" ht="12.75">
      <c r="A154" s="23"/>
      <c r="B154" s="54"/>
      <c r="C154" s="6" t="s">
        <v>8</v>
      </c>
      <c r="D154" s="11"/>
      <c r="E154" s="11">
        <v>1000</v>
      </c>
      <c r="F154" s="25"/>
    </row>
    <row r="155" spans="1:6" ht="12.75">
      <c r="A155" s="23"/>
      <c r="B155" s="54"/>
      <c r="C155" s="6" t="s">
        <v>9</v>
      </c>
      <c r="D155" s="11"/>
      <c r="E155" s="11"/>
      <c r="F155" s="25"/>
    </row>
    <row r="156" spans="1:6" ht="12.75">
      <c r="A156" s="5">
        <v>757</v>
      </c>
      <c r="B156" s="5"/>
      <c r="C156" s="2" t="s">
        <v>34</v>
      </c>
      <c r="D156" s="10">
        <f>D157+D164</f>
        <v>835815</v>
      </c>
      <c r="E156" s="10">
        <f>SUM(E157+E164)</f>
        <v>1560645</v>
      </c>
      <c r="F156" s="25">
        <f>E156*100/D156</f>
        <v>186.72134383805027</v>
      </c>
    </row>
    <row r="157" spans="1:6" ht="24">
      <c r="A157" s="107"/>
      <c r="B157" s="24">
        <v>75702</v>
      </c>
      <c r="C157" s="4" t="s">
        <v>35</v>
      </c>
      <c r="D157" s="28">
        <f>D159+D158</f>
        <v>835815</v>
      </c>
      <c r="E157" s="10">
        <f>E159</f>
        <v>669000</v>
      </c>
      <c r="F157" s="71">
        <f>E157*100/D157</f>
        <v>80.04163600796826</v>
      </c>
    </row>
    <row r="158" spans="1:6" ht="12.75">
      <c r="A158" s="108"/>
      <c r="B158" s="51"/>
      <c r="C158" s="54" t="s">
        <v>6</v>
      </c>
      <c r="D158" s="16"/>
      <c r="E158" s="11"/>
      <c r="F158" s="71"/>
    </row>
    <row r="159" spans="1:6" ht="12.75">
      <c r="A159" s="108"/>
      <c r="B159" s="23"/>
      <c r="C159" s="44" t="s">
        <v>7</v>
      </c>
      <c r="D159" s="17">
        <f>SUM(D160:D163)</f>
        <v>835815</v>
      </c>
      <c r="E159" s="17">
        <v>669000</v>
      </c>
      <c r="F159" s="71">
        <f>E159*100/D159</f>
        <v>80.04163600796826</v>
      </c>
    </row>
    <row r="160" spans="1:6" ht="12.75">
      <c r="A160" s="108"/>
      <c r="B160" s="23"/>
      <c r="C160" s="47" t="s">
        <v>91</v>
      </c>
      <c r="D160" s="17"/>
      <c r="E160" s="11"/>
      <c r="F160" s="71"/>
    </row>
    <row r="161" spans="1:6" ht="12.75">
      <c r="A161" s="108"/>
      <c r="B161" s="23"/>
      <c r="C161" s="47" t="s">
        <v>92</v>
      </c>
      <c r="D161" s="17"/>
      <c r="E161" s="11"/>
      <c r="F161" s="71"/>
    </row>
    <row r="162" spans="1:6" ht="12.75">
      <c r="A162" s="108"/>
      <c r="B162" s="23"/>
      <c r="C162" s="6" t="s">
        <v>8</v>
      </c>
      <c r="D162" s="17">
        <v>835815</v>
      </c>
      <c r="E162" s="11">
        <v>669000</v>
      </c>
      <c r="F162" s="71">
        <f>E162*100/D162</f>
        <v>80.04163600796826</v>
      </c>
    </row>
    <row r="163" spans="1:6" ht="12.75">
      <c r="A163" s="108"/>
      <c r="B163" s="54"/>
      <c r="C163" s="6" t="s">
        <v>9</v>
      </c>
      <c r="D163" s="17"/>
      <c r="E163" s="11"/>
      <c r="F163" s="71"/>
    </row>
    <row r="164" spans="1:6" ht="38.25">
      <c r="A164" s="108"/>
      <c r="B164" s="5">
        <v>75704</v>
      </c>
      <c r="C164" s="59" t="s">
        <v>36</v>
      </c>
      <c r="D164" s="28">
        <f>D166+D165</f>
        <v>0</v>
      </c>
      <c r="E164" s="72">
        <f>E166</f>
        <v>891645</v>
      </c>
      <c r="F164" s="71"/>
    </row>
    <row r="165" spans="1:6" ht="12.75">
      <c r="A165" s="108"/>
      <c r="B165" s="51"/>
      <c r="C165" s="20" t="s">
        <v>6</v>
      </c>
      <c r="D165" s="17"/>
      <c r="E165" s="11"/>
      <c r="F165" s="71"/>
    </row>
    <row r="166" spans="1:6" ht="12.75">
      <c r="A166" s="108"/>
      <c r="B166" s="23"/>
      <c r="C166" s="49" t="s">
        <v>7</v>
      </c>
      <c r="D166" s="17">
        <f>SUM(D167:D170)</f>
        <v>0</v>
      </c>
      <c r="E166" s="11">
        <v>891645</v>
      </c>
      <c r="F166" s="71"/>
    </row>
    <row r="167" spans="1:6" ht="12.75">
      <c r="A167" s="108"/>
      <c r="B167" s="23"/>
      <c r="C167" s="47" t="s">
        <v>91</v>
      </c>
      <c r="D167" s="17"/>
      <c r="E167" s="11"/>
      <c r="F167" s="71"/>
    </row>
    <row r="168" spans="1:6" ht="12.75">
      <c r="A168" s="23"/>
      <c r="B168" s="23"/>
      <c r="C168" s="47" t="s">
        <v>92</v>
      </c>
      <c r="D168" s="17"/>
      <c r="E168" s="11"/>
      <c r="F168" s="71"/>
    </row>
    <row r="169" spans="1:6" ht="12.75">
      <c r="A169" s="23"/>
      <c r="B169" s="23"/>
      <c r="C169" s="48" t="s">
        <v>8</v>
      </c>
      <c r="D169" s="17"/>
      <c r="E169" s="11">
        <v>891645</v>
      </c>
      <c r="F169" s="71"/>
    </row>
    <row r="170" spans="1:6" ht="12.75">
      <c r="A170" s="54"/>
      <c r="B170" s="54"/>
      <c r="C170" s="48" t="s">
        <v>9</v>
      </c>
      <c r="D170" s="17"/>
      <c r="E170" s="11"/>
      <c r="F170" s="71"/>
    </row>
    <row r="171" spans="1:6" ht="12.75">
      <c r="A171" s="5">
        <v>758</v>
      </c>
      <c r="B171" s="5"/>
      <c r="C171" s="5" t="s">
        <v>37</v>
      </c>
      <c r="D171" s="28">
        <f>D172</f>
        <v>0</v>
      </c>
      <c r="E171" s="28">
        <f>E172</f>
        <v>696000</v>
      </c>
      <c r="F171" s="71"/>
    </row>
    <row r="172" spans="1:6" ht="12.75">
      <c r="A172" s="51"/>
      <c r="B172" s="24">
        <v>75818</v>
      </c>
      <c r="C172" s="5" t="s">
        <v>38</v>
      </c>
      <c r="D172" s="29">
        <f>D173+D174</f>
        <v>0</v>
      </c>
      <c r="E172" s="73">
        <f>E174</f>
        <v>696000</v>
      </c>
      <c r="F172" s="71"/>
    </row>
    <row r="173" spans="1:6" ht="12.75">
      <c r="A173" s="23"/>
      <c r="B173" s="51"/>
      <c r="C173" s="20" t="s">
        <v>6</v>
      </c>
      <c r="D173" s="16"/>
      <c r="E173" s="11"/>
      <c r="F173" s="71"/>
    </row>
    <row r="174" spans="1:6" ht="12.75">
      <c r="A174" s="23"/>
      <c r="B174" s="23"/>
      <c r="C174" s="49" t="s">
        <v>7</v>
      </c>
      <c r="D174" s="17"/>
      <c r="E174" s="11">
        <v>696000</v>
      </c>
      <c r="F174" s="71"/>
    </row>
    <row r="175" spans="1:6" ht="12.75">
      <c r="A175" s="23"/>
      <c r="B175" s="23"/>
      <c r="C175" s="47" t="s">
        <v>91</v>
      </c>
      <c r="D175" s="17"/>
      <c r="E175" s="11"/>
      <c r="F175" s="71"/>
    </row>
    <row r="176" spans="1:6" ht="12.75">
      <c r="A176" s="23"/>
      <c r="B176" s="23"/>
      <c r="C176" s="47" t="s">
        <v>92</v>
      </c>
      <c r="D176" s="17"/>
      <c r="E176" s="11"/>
      <c r="F176" s="71"/>
    </row>
    <row r="177" spans="1:6" ht="12.75">
      <c r="A177" s="23"/>
      <c r="B177" s="23"/>
      <c r="C177" s="48" t="s">
        <v>8</v>
      </c>
      <c r="D177" s="11"/>
      <c r="E177" s="11"/>
      <c r="F177" s="71"/>
    </row>
    <row r="178" spans="1:6" ht="12.75">
      <c r="A178" s="23"/>
      <c r="B178" s="23"/>
      <c r="C178" s="74" t="s">
        <v>76</v>
      </c>
      <c r="D178" s="13"/>
      <c r="E178" s="11"/>
      <c r="F178" s="71"/>
    </row>
    <row r="179" spans="1:6" ht="12.75">
      <c r="A179" s="54"/>
      <c r="B179" s="54"/>
      <c r="C179" s="74" t="s">
        <v>68</v>
      </c>
      <c r="D179" s="13">
        <f>D174</f>
        <v>0</v>
      </c>
      <c r="E179" s="11">
        <v>696000</v>
      </c>
      <c r="F179" s="71"/>
    </row>
    <row r="180" spans="1:6" ht="12.75">
      <c r="A180" s="5">
        <v>801</v>
      </c>
      <c r="B180" s="5"/>
      <c r="C180" s="5" t="s">
        <v>39</v>
      </c>
      <c r="D180" s="10">
        <f>D181+D188+D195+D202+D209+D216+D223+D230+D237+D244+D251</f>
        <v>12102523.67</v>
      </c>
      <c r="E180" s="10">
        <f>E181+E188+E195+E202+E209+E216+E223+E230+E237+E244+E251</f>
        <v>10796051</v>
      </c>
      <c r="F180" s="25">
        <f>E180*100/D180</f>
        <v>89.20495670470356</v>
      </c>
    </row>
    <row r="181" spans="1:6" ht="25.5">
      <c r="A181" s="51"/>
      <c r="B181" s="5">
        <v>80102</v>
      </c>
      <c r="C181" s="59" t="s">
        <v>40</v>
      </c>
      <c r="D181" s="10">
        <f>D182+D183</f>
        <v>615147</v>
      </c>
      <c r="E181" s="10">
        <f>E182+E183</f>
        <v>537700</v>
      </c>
      <c r="F181" s="25">
        <f aca="true" t="shared" si="2" ref="F181:F242">E181*100/D181</f>
        <v>87.41000118670821</v>
      </c>
    </row>
    <row r="182" spans="1:6" ht="12.75">
      <c r="A182" s="23"/>
      <c r="B182" s="51"/>
      <c r="C182" s="20" t="s">
        <v>6</v>
      </c>
      <c r="D182" s="14"/>
      <c r="E182" s="11"/>
      <c r="F182" s="25"/>
    </row>
    <row r="183" spans="1:6" ht="12.75">
      <c r="A183" s="23"/>
      <c r="B183" s="23"/>
      <c r="C183" s="49" t="s">
        <v>7</v>
      </c>
      <c r="D183" s="11">
        <f>SUM(D184:D187)</f>
        <v>615147</v>
      </c>
      <c r="E183" s="11">
        <f>E184+E185+E186</f>
        <v>537700</v>
      </c>
      <c r="F183" s="45">
        <f t="shared" si="2"/>
        <v>87.41000118670821</v>
      </c>
    </row>
    <row r="184" spans="1:6" ht="12.75">
      <c r="A184" s="23"/>
      <c r="B184" s="23"/>
      <c r="C184" s="47" t="s">
        <v>91</v>
      </c>
      <c r="D184" s="11">
        <v>427455</v>
      </c>
      <c r="E184" s="11">
        <v>390000</v>
      </c>
      <c r="F184" s="45">
        <f t="shared" si="2"/>
        <v>91.23767414113766</v>
      </c>
    </row>
    <row r="185" spans="1:6" ht="12.75">
      <c r="A185" s="23"/>
      <c r="B185" s="23"/>
      <c r="C185" s="47" t="s">
        <v>92</v>
      </c>
      <c r="D185" s="11">
        <v>79125</v>
      </c>
      <c r="E185" s="75">
        <v>77500</v>
      </c>
      <c r="F185" s="45">
        <f t="shared" si="2"/>
        <v>97.94628751974723</v>
      </c>
    </row>
    <row r="186" spans="1:6" ht="12.75">
      <c r="A186" s="23"/>
      <c r="B186" s="23"/>
      <c r="C186" s="48" t="s">
        <v>8</v>
      </c>
      <c r="D186" s="11">
        <v>108567</v>
      </c>
      <c r="E186" s="11">
        <v>70200</v>
      </c>
      <c r="F186" s="45">
        <f t="shared" si="2"/>
        <v>64.66053220591893</v>
      </c>
    </row>
    <row r="187" spans="1:6" ht="12.75">
      <c r="A187" s="23"/>
      <c r="B187" s="54"/>
      <c r="C187" s="74" t="s">
        <v>9</v>
      </c>
      <c r="D187" s="13"/>
      <c r="E187" s="11"/>
      <c r="F187" s="25"/>
    </row>
    <row r="188" spans="1:6" ht="12.75">
      <c r="A188" s="23"/>
      <c r="B188" s="5">
        <v>80111</v>
      </c>
      <c r="C188" s="5" t="s">
        <v>41</v>
      </c>
      <c r="D188" s="10">
        <f>D190</f>
        <v>1095057</v>
      </c>
      <c r="E188" s="10">
        <f>E190</f>
        <v>1072000</v>
      </c>
      <c r="F188" s="25">
        <f t="shared" si="2"/>
        <v>97.89444750364594</v>
      </c>
    </row>
    <row r="189" spans="1:6" ht="12.75">
      <c r="A189" s="23"/>
      <c r="B189" s="51"/>
      <c r="C189" s="20" t="s">
        <v>6</v>
      </c>
      <c r="D189" s="14"/>
      <c r="E189" s="11"/>
      <c r="F189" s="25"/>
    </row>
    <row r="190" spans="1:6" ht="12.75">
      <c r="A190" s="23"/>
      <c r="B190" s="23"/>
      <c r="C190" s="49" t="s">
        <v>7</v>
      </c>
      <c r="D190" s="11">
        <f>SUM(D191:D194)</f>
        <v>1095057</v>
      </c>
      <c r="E190" s="11">
        <f>E191+E192+E193</f>
        <v>1072000</v>
      </c>
      <c r="F190" s="45">
        <f t="shared" si="2"/>
        <v>97.89444750364594</v>
      </c>
    </row>
    <row r="191" spans="1:6" ht="12.75">
      <c r="A191" s="23"/>
      <c r="B191" s="23"/>
      <c r="C191" s="47" t="s">
        <v>91</v>
      </c>
      <c r="D191" s="11">
        <v>765412</v>
      </c>
      <c r="E191" s="11">
        <v>755000</v>
      </c>
      <c r="F191" s="45">
        <f t="shared" si="2"/>
        <v>98.639686861455</v>
      </c>
    </row>
    <row r="192" spans="1:6" ht="12.75">
      <c r="A192" s="23"/>
      <c r="B192" s="23"/>
      <c r="C192" s="47" t="s">
        <v>92</v>
      </c>
      <c r="D192" s="11">
        <v>144875</v>
      </c>
      <c r="E192" s="11">
        <v>162000</v>
      </c>
      <c r="F192" s="45">
        <f t="shared" si="2"/>
        <v>111.82053494391717</v>
      </c>
    </row>
    <row r="193" spans="1:6" ht="12.75">
      <c r="A193" s="23"/>
      <c r="B193" s="23"/>
      <c r="C193" s="48" t="s">
        <v>8</v>
      </c>
      <c r="D193" s="11">
        <v>184770</v>
      </c>
      <c r="E193" s="11">
        <v>155000</v>
      </c>
      <c r="F193" s="45">
        <f t="shared" si="2"/>
        <v>83.88807706878822</v>
      </c>
    </row>
    <row r="194" spans="1:6" ht="12.75">
      <c r="A194" s="23"/>
      <c r="B194" s="54"/>
      <c r="C194" s="74" t="s">
        <v>9</v>
      </c>
      <c r="D194" s="13"/>
      <c r="E194" s="11"/>
      <c r="F194" s="45"/>
    </row>
    <row r="195" spans="1:6" ht="12.75">
      <c r="A195" s="23"/>
      <c r="B195" s="65">
        <v>80114</v>
      </c>
      <c r="C195" s="2" t="s">
        <v>71</v>
      </c>
      <c r="D195" s="18">
        <f>D197</f>
        <v>216389</v>
      </c>
      <c r="E195" s="18">
        <f>E197</f>
        <v>243038</v>
      </c>
      <c r="F195" s="76">
        <f t="shared" si="2"/>
        <v>112.31532101909062</v>
      </c>
    </row>
    <row r="196" spans="1:6" ht="12.75">
      <c r="A196" s="50"/>
      <c r="B196" s="51"/>
      <c r="C196" s="64" t="s">
        <v>6</v>
      </c>
      <c r="D196" s="13"/>
      <c r="E196" s="11"/>
      <c r="F196" s="45"/>
    </row>
    <row r="197" spans="1:6" ht="12.75">
      <c r="A197" s="50"/>
      <c r="B197" s="23"/>
      <c r="C197" s="52" t="s">
        <v>7</v>
      </c>
      <c r="D197" s="13">
        <f>SUM(D198:D201)</f>
        <v>216389</v>
      </c>
      <c r="E197" s="11">
        <f>E198+E199+E200</f>
        <v>243038</v>
      </c>
      <c r="F197" s="45">
        <f t="shared" si="2"/>
        <v>112.31532101909062</v>
      </c>
    </row>
    <row r="198" spans="1:6" ht="12.75">
      <c r="A198" s="50"/>
      <c r="B198" s="23"/>
      <c r="C198" s="47" t="s">
        <v>91</v>
      </c>
      <c r="D198" s="13">
        <v>155504</v>
      </c>
      <c r="E198" s="75">
        <v>178200</v>
      </c>
      <c r="F198" s="45">
        <f t="shared" si="2"/>
        <v>114.59512295503653</v>
      </c>
    </row>
    <row r="199" spans="1:6" ht="12.75">
      <c r="A199" s="50"/>
      <c r="B199" s="23"/>
      <c r="C199" s="47" t="s">
        <v>92</v>
      </c>
      <c r="D199" s="13">
        <v>30180</v>
      </c>
      <c r="E199" s="11">
        <v>33200</v>
      </c>
      <c r="F199" s="45">
        <f t="shared" si="2"/>
        <v>110.00662690523525</v>
      </c>
    </row>
    <row r="200" spans="1:8" ht="12.75">
      <c r="A200" s="50"/>
      <c r="B200" s="23"/>
      <c r="C200" s="47" t="s">
        <v>8</v>
      </c>
      <c r="D200" s="13">
        <v>30705</v>
      </c>
      <c r="E200" s="11">
        <v>31638</v>
      </c>
      <c r="F200" s="45">
        <f t="shared" si="2"/>
        <v>103.03859306301905</v>
      </c>
      <c r="H200" s="7"/>
    </row>
    <row r="201" spans="1:6" ht="12.75">
      <c r="A201" s="50"/>
      <c r="B201" s="54"/>
      <c r="C201" s="56" t="s">
        <v>9</v>
      </c>
      <c r="D201" s="13"/>
      <c r="E201" s="11"/>
      <c r="F201" s="25"/>
    </row>
    <row r="202" spans="1:6" ht="12.75">
      <c r="A202" s="23"/>
      <c r="B202" s="67">
        <v>80120</v>
      </c>
      <c r="C202" s="5" t="s">
        <v>42</v>
      </c>
      <c r="D202" s="10">
        <f>D204</f>
        <v>3623872</v>
      </c>
      <c r="E202" s="10">
        <f>E204+E203</f>
        <v>3263611</v>
      </c>
      <c r="F202" s="25">
        <f t="shared" si="2"/>
        <v>90.05867205022695</v>
      </c>
    </row>
    <row r="203" spans="1:6" ht="12.75">
      <c r="A203" s="23"/>
      <c r="B203" s="51"/>
      <c r="C203" s="20" t="s">
        <v>6</v>
      </c>
      <c r="D203" s="14"/>
      <c r="E203" s="11">
        <v>416000</v>
      </c>
      <c r="F203" s="25"/>
    </row>
    <row r="204" spans="1:6" ht="12.75">
      <c r="A204" s="23"/>
      <c r="B204" s="23"/>
      <c r="C204" s="49" t="s">
        <v>7</v>
      </c>
      <c r="D204" s="11">
        <f>SUM(D205:D208)</f>
        <v>3623872</v>
      </c>
      <c r="E204" s="11">
        <f>E205+E206+E207+E208</f>
        <v>2847611</v>
      </c>
      <c r="F204" s="45">
        <f t="shared" si="2"/>
        <v>78.5792378980273</v>
      </c>
    </row>
    <row r="205" spans="1:7" ht="12.75">
      <c r="A205" s="23"/>
      <c r="B205" s="23"/>
      <c r="C205" s="47" t="s">
        <v>91</v>
      </c>
      <c r="D205" s="11">
        <v>2025265</v>
      </c>
      <c r="E205" s="11">
        <v>1710108</v>
      </c>
      <c r="F205" s="45">
        <f t="shared" si="2"/>
        <v>84.43872777142744</v>
      </c>
      <c r="G205" s="77"/>
    </row>
    <row r="206" spans="1:6" ht="12.75">
      <c r="A206" s="23"/>
      <c r="B206" s="23"/>
      <c r="C206" s="47" t="s">
        <v>92</v>
      </c>
      <c r="D206" s="11">
        <v>365060</v>
      </c>
      <c r="E206" s="11">
        <v>334835</v>
      </c>
      <c r="F206" s="45">
        <f t="shared" si="2"/>
        <v>91.72053908946475</v>
      </c>
    </row>
    <row r="207" spans="1:6" ht="12.75">
      <c r="A207" s="23"/>
      <c r="B207" s="23"/>
      <c r="C207" s="48" t="s">
        <v>8</v>
      </c>
      <c r="D207" s="11">
        <v>887647</v>
      </c>
      <c r="E207" s="11">
        <v>422668</v>
      </c>
      <c r="F207" s="45">
        <f t="shared" si="2"/>
        <v>47.616676449083926</v>
      </c>
    </row>
    <row r="208" spans="1:6" ht="12.75">
      <c r="A208" s="23"/>
      <c r="B208" s="54"/>
      <c r="C208" s="74" t="s">
        <v>9</v>
      </c>
      <c r="D208" s="13">
        <v>345900</v>
      </c>
      <c r="E208" s="11">
        <v>380000</v>
      </c>
      <c r="F208" s="45">
        <f t="shared" si="2"/>
        <v>109.85834056085574</v>
      </c>
    </row>
    <row r="209" spans="1:6" ht="12.75">
      <c r="A209" s="23"/>
      <c r="B209" s="5">
        <v>80123</v>
      </c>
      <c r="C209" s="5" t="s">
        <v>43</v>
      </c>
      <c r="D209" s="10">
        <f>D212+D213+D214</f>
        <v>2211111</v>
      </c>
      <c r="E209" s="10">
        <f>E212+E213+E214</f>
        <v>1878606</v>
      </c>
      <c r="F209" s="25">
        <f t="shared" si="2"/>
        <v>84.96208467146154</v>
      </c>
    </row>
    <row r="210" spans="1:6" ht="12.75">
      <c r="A210" s="23"/>
      <c r="B210" s="51"/>
      <c r="C210" s="20" t="s">
        <v>6</v>
      </c>
      <c r="D210" s="14"/>
      <c r="E210" s="11"/>
      <c r="F210" s="45"/>
    </row>
    <row r="211" spans="1:6" ht="12.75">
      <c r="A211" s="23"/>
      <c r="B211" s="23"/>
      <c r="C211" s="49" t="s">
        <v>7</v>
      </c>
      <c r="D211" s="11">
        <f>SUM(D212:D215)</f>
        <v>2211111</v>
      </c>
      <c r="E211" s="11">
        <f>E212+E213+E214</f>
        <v>1878606</v>
      </c>
      <c r="F211" s="45">
        <f t="shared" si="2"/>
        <v>84.96208467146154</v>
      </c>
    </row>
    <row r="212" spans="1:6" ht="12.75">
      <c r="A212" s="23"/>
      <c r="B212" s="23"/>
      <c r="C212" s="47" t="s">
        <v>91</v>
      </c>
      <c r="D212" s="11">
        <v>1579998</v>
      </c>
      <c r="E212" s="11">
        <v>1339257</v>
      </c>
      <c r="F212" s="45">
        <f t="shared" si="2"/>
        <v>84.76320856102349</v>
      </c>
    </row>
    <row r="213" spans="1:6" ht="12.75">
      <c r="A213" s="23"/>
      <c r="B213" s="23"/>
      <c r="C213" s="47" t="s">
        <v>92</v>
      </c>
      <c r="D213" s="11">
        <v>293170</v>
      </c>
      <c r="E213" s="21">
        <v>263359</v>
      </c>
      <c r="F213" s="45">
        <f t="shared" si="2"/>
        <v>89.83149708360337</v>
      </c>
    </row>
    <row r="214" spans="1:6" ht="12.75">
      <c r="A214" s="23"/>
      <c r="B214" s="23"/>
      <c r="C214" s="48" t="s">
        <v>8</v>
      </c>
      <c r="D214" s="11">
        <v>337943</v>
      </c>
      <c r="E214" s="11">
        <v>275990</v>
      </c>
      <c r="F214" s="45">
        <f t="shared" si="2"/>
        <v>81.66761850371216</v>
      </c>
    </row>
    <row r="215" spans="1:6" ht="12.75">
      <c r="A215" s="23"/>
      <c r="B215" s="54"/>
      <c r="C215" s="48" t="s">
        <v>9</v>
      </c>
      <c r="D215" s="11"/>
      <c r="E215" s="11"/>
      <c r="F215" s="45"/>
    </row>
    <row r="216" spans="1:6" ht="12.75">
      <c r="A216" s="23"/>
      <c r="B216" s="5">
        <v>80130</v>
      </c>
      <c r="C216" s="5" t="s">
        <v>44</v>
      </c>
      <c r="D216" s="28">
        <f>D218</f>
        <v>3733237</v>
      </c>
      <c r="E216" s="28">
        <f>E218</f>
        <v>3257172</v>
      </c>
      <c r="F216" s="76">
        <f t="shared" si="2"/>
        <v>87.24792987961922</v>
      </c>
    </row>
    <row r="217" spans="1:6" ht="12.75">
      <c r="A217" s="23"/>
      <c r="B217" s="51"/>
      <c r="C217" s="20" t="s">
        <v>6</v>
      </c>
      <c r="D217" s="16"/>
      <c r="E217" s="11"/>
      <c r="F217" s="45"/>
    </row>
    <row r="218" spans="1:6" ht="12.75">
      <c r="A218" s="23"/>
      <c r="B218" s="23"/>
      <c r="C218" s="49" t="s">
        <v>7</v>
      </c>
      <c r="D218" s="17">
        <f>SUM(D219:D222)</f>
        <v>3733237</v>
      </c>
      <c r="E218" s="17">
        <f>E219+E220+E221+E222</f>
        <v>3257172</v>
      </c>
      <c r="F218" s="45">
        <f t="shared" si="2"/>
        <v>87.24792987961922</v>
      </c>
    </row>
    <row r="219" spans="1:6" ht="12.75">
      <c r="A219" s="23"/>
      <c r="B219" s="23"/>
      <c r="C219" s="47" t="s">
        <v>91</v>
      </c>
      <c r="D219" s="17">
        <v>2165317</v>
      </c>
      <c r="E219" s="11">
        <v>2100000</v>
      </c>
      <c r="F219" s="45">
        <f t="shared" si="2"/>
        <v>96.98349017718884</v>
      </c>
    </row>
    <row r="220" spans="1:6" ht="12.75">
      <c r="A220" s="23"/>
      <c r="B220" s="23"/>
      <c r="C220" s="47" t="s">
        <v>92</v>
      </c>
      <c r="D220" s="17">
        <v>415995</v>
      </c>
      <c r="E220" s="11">
        <v>387172</v>
      </c>
      <c r="F220" s="45">
        <f t="shared" si="2"/>
        <v>93.07131095325666</v>
      </c>
    </row>
    <row r="221" spans="1:6" ht="12.75">
      <c r="A221" s="23"/>
      <c r="B221" s="23"/>
      <c r="C221" s="48" t="s">
        <v>8</v>
      </c>
      <c r="D221" s="17">
        <v>1131925</v>
      </c>
      <c r="E221" s="11">
        <v>750000</v>
      </c>
      <c r="F221" s="45">
        <f t="shared" si="2"/>
        <v>66.25880689975043</v>
      </c>
    </row>
    <row r="222" spans="1:6" ht="12.75">
      <c r="A222" s="23"/>
      <c r="B222" s="54"/>
      <c r="C222" s="6" t="s">
        <v>9</v>
      </c>
      <c r="D222" s="17">
        <v>20000</v>
      </c>
      <c r="E222" s="11">
        <v>20000</v>
      </c>
      <c r="F222" s="45">
        <f t="shared" si="2"/>
        <v>100</v>
      </c>
    </row>
    <row r="223" spans="1:6" ht="12.75">
      <c r="A223" s="5">
        <v>801</v>
      </c>
      <c r="B223" s="5">
        <v>80134</v>
      </c>
      <c r="C223" s="5" t="s">
        <v>45</v>
      </c>
      <c r="D223" s="28">
        <f>D225</f>
        <v>334785</v>
      </c>
      <c r="E223" s="28">
        <f>E225</f>
        <v>292000</v>
      </c>
      <c r="F223" s="25">
        <f t="shared" si="2"/>
        <v>87.22015621966337</v>
      </c>
    </row>
    <row r="224" spans="1:6" ht="12.75">
      <c r="A224" s="51"/>
      <c r="C224" s="20" t="s">
        <v>6</v>
      </c>
      <c r="D224" s="16"/>
      <c r="E224" s="11"/>
      <c r="F224" s="45"/>
    </row>
    <row r="225" spans="1:6" ht="12.75">
      <c r="A225" s="23"/>
      <c r="C225" s="49" t="s">
        <v>7</v>
      </c>
      <c r="D225" s="17">
        <f>SUM(D226:D229)</f>
        <v>334785</v>
      </c>
      <c r="E225" s="17">
        <f>E226+E227+E228</f>
        <v>292000</v>
      </c>
      <c r="F225" s="45">
        <f t="shared" si="2"/>
        <v>87.22015621966337</v>
      </c>
    </row>
    <row r="226" spans="1:6" ht="12.75">
      <c r="A226" s="23"/>
      <c r="C226" s="6" t="s">
        <v>91</v>
      </c>
      <c r="D226" s="17">
        <v>257540</v>
      </c>
      <c r="E226" s="11">
        <v>220000</v>
      </c>
      <c r="F226" s="45">
        <f t="shared" si="2"/>
        <v>85.42362351479382</v>
      </c>
    </row>
    <row r="227" spans="1:6" ht="12.75">
      <c r="A227" s="23"/>
      <c r="C227" s="6" t="s">
        <v>92</v>
      </c>
      <c r="D227" s="17">
        <v>49245</v>
      </c>
      <c r="E227" s="11">
        <v>44000</v>
      </c>
      <c r="F227" s="45">
        <f t="shared" si="2"/>
        <v>89.34917250482282</v>
      </c>
    </row>
    <row r="228" spans="1:6" ht="12.75">
      <c r="A228" s="23"/>
      <c r="C228" s="48" t="s">
        <v>8</v>
      </c>
      <c r="D228" s="17">
        <v>28000</v>
      </c>
      <c r="E228" s="11">
        <v>28000</v>
      </c>
      <c r="F228" s="45">
        <f t="shared" si="2"/>
        <v>100</v>
      </c>
    </row>
    <row r="229" spans="1:6" ht="12.75">
      <c r="A229" s="23"/>
      <c r="C229" s="74" t="s">
        <v>9</v>
      </c>
      <c r="D229" s="19"/>
      <c r="E229" s="11"/>
      <c r="F229" s="45"/>
    </row>
    <row r="230" spans="1:6" ht="24">
      <c r="A230" s="23"/>
      <c r="B230" s="24">
        <v>80142</v>
      </c>
      <c r="C230" s="4" t="s">
        <v>46</v>
      </c>
      <c r="D230" s="10">
        <f>D232</f>
        <v>100972</v>
      </c>
      <c r="E230" s="10">
        <f>E232</f>
        <v>96487</v>
      </c>
      <c r="F230" s="25">
        <f t="shared" si="2"/>
        <v>95.55817454343779</v>
      </c>
    </row>
    <row r="231" spans="1:6" ht="12.75">
      <c r="A231" s="23"/>
      <c r="C231" s="20" t="s">
        <v>6</v>
      </c>
      <c r="D231" s="14"/>
      <c r="E231" s="11"/>
      <c r="F231" s="45"/>
    </row>
    <row r="232" spans="1:6" ht="12.75">
      <c r="A232" s="23"/>
      <c r="C232" s="49" t="s">
        <v>7</v>
      </c>
      <c r="D232" s="11">
        <f>SUM(D233:D236)</f>
        <v>100972</v>
      </c>
      <c r="E232" s="11">
        <f>E233+E234+E235</f>
        <v>96487</v>
      </c>
      <c r="F232" s="45">
        <f t="shared" si="2"/>
        <v>95.55817454343779</v>
      </c>
    </row>
    <row r="233" spans="1:6" ht="12.75">
      <c r="A233" s="23"/>
      <c r="C233" s="6" t="s">
        <v>91</v>
      </c>
      <c r="D233" s="11">
        <v>67544</v>
      </c>
      <c r="E233" s="11">
        <v>67000</v>
      </c>
      <c r="F233" s="45">
        <f t="shared" si="2"/>
        <v>99.19459907615776</v>
      </c>
    </row>
    <row r="234" spans="1:6" ht="12.75">
      <c r="A234" s="23"/>
      <c r="C234" s="6" t="s">
        <v>92</v>
      </c>
      <c r="D234" s="11">
        <v>15310</v>
      </c>
      <c r="E234" s="11">
        <v>13487</v>
      </c>
      <c r="F234" s="45">
        <f t="shared" si="2"/>
        <v>88.09274983670804</v>
      </c>
    </row>
    <row r="235" spans="1:6" ht="12.75">
      <c r="A235" s="23"/>
      <c r="C235" s="48" t="s">
        <v>8</v>
      </c>
      <c r="D235" s="11">
        <v>18118</v>
      </c>
      <c r="E235" s="11">
        <v>16000</v>
      </c>
      <c r="F235" s="45">
        <f t="shared" si="2"/>
        <v>88.30996798763661</v>
      </c>
    </row>
    <row r="236" spans="1:6" ht="12.75">
      <c r="A236" s="23"/>
      <c r="C236" s="74" t="s">
        <v>9</v>
      </c>
      <c r="D236" s="13"/>
      <c r="E236" s="11"/>
      <c r="F236" s="45"/>
    </row>
    <row r="237" spans="1:6" ht="12.75">
      <c r="A237" s="23"/>
      <c r="B237" s="78">
        <v>80146</v>
      </c>
      <c r="C237" s="79" t="s">
        <v>81</v>
      </c>
      <c r="D237" s="30">
        <f>D239</f>
        <v>58400</v>
      </c>
      <c r="E237" s="30">
        <v>47900</v>
      </c>
      <c r="F237" s="76">
        <f t="shared" si="2"/>
        <v>82.02054794520548</v>
      </c>
    </row>
    <row r="238" spans="1:7" ht="12.75">
      <c r="A238" s="23"/>
      <c r="C238" s="20" t="s">
        <v>6</v>
      </c>
      <c r="D238" s="20"/>
      <c r="E238" s="13"/>
      <c r="F238" s="45"/>
      <c r="G238" s="80"/>
    </row>
    <row r="239" spans="1:6" ht="12.75">
      <c r="A239" s="23"/>
      <c r="C239" s="49" t="s">
        <v>7</v>
      </c>
      <c r="D239" s="13">
        <f>SUM(D240:D243)</f>
        <v>58400</v>
      </c>
      <c r="E239" s="11">
        <v>47900</v>
      </c>
      <c r="F239" s="45">
        <f t="shared" si="2"/>
        <v>82.02054794520548</v>
      </c>
    </row>
    <row r="240" spans="1:6" ht="12.75">
      <c r="A240" s="23"/>
      <c r="C240" s="6" t="s">
        <v>91</v>
      </c>
      <c r="D240" s="13"/>
      <c r="E240" s="11"/>
      <c r="F240" s="45"/>
    </row>
    <row r="241" spans="1:6" ht="12.75">
      <c r="A241" s="23"/>
      <c r="C241" s="6" t="s">
        <v>92</v>
      </c>
      <c r="D241" s="13"/>
      <c r="E241" s="11"/>
      <c r="F241" s="45"/>
    </row>
    <row r="242" spans="1:6" ht="12.75">
      <c r="A242" s="23"/>
      <c r="C242" s="48" t="s">
        <v>8</v>
      </c>
      <c r="D242" s="13">
        <v>58400</v>
      </c>
      <c r="E242" s="11">
        <v>47900</v>
      </c>
      <c r="F242" s="45">
        <f t="shared" si="2"/>
        <v>82.02054794520548</v>
      </c>
    </row>
    <row r="243" spans="1:6" ht="12.75">
      <c r="A243" s="23"/>
      <c r="C243" s="74" t="s">
        <v>9</v>
      </c>
      <c r="D243" s="13"/>
      <c r="E243" s="11"/>
      <c r="F243" s="45"/>
    </row>
    <row r="244" spans="1:6" ht="12.75">
      <c r="A244" s="23"/>
      <c r="B244" s="24">
        <v>80147</v>
      </c>
      <c r="C244" s="2" t="s">
        <v>47</v>
      </c>
      <c r="D244" s="10">
        <f>D246</f>
        <v>100769</v>
      </c>
      <c r="E244" s="10">
        <f>E246</f>
        <v>100537</v>
      </c>
      <c r="F244" s="25">
        <f aca="true" t="shared" si="3" ref="F244:F265">E244*100/D244</f>
        <v>99.7697704651232</v>
      </c>
    </row>
    <row r="245" spans="1:6" ht="12.75">
      <c r="A245" s="23"/>
      <c r="C245" s="20" t="s">
        <v>6</v>
      </c>
      <c r="D245" s="14"/>
      <c r="E245" s="11"/>
      <c r="F245" s="45"/>
    </row>
    <row r="246" spans="1:6" ht="12.75">
      <c r="A246" s="23"/>
      <c r="C246" s="44" t="s">
        <v>7</v>
      </c>
      <c r="D246" s="11">
        <f>SUM(D247:D250)</f>
        <v>100769</v>
      </c>
      <c r="E246" s="11">
        <f>SUM(E247:E250)</f>
        <v>100537</v>
      </c>
      <c r="F246" s="45">
        <f t="shared" si="3"/>
        <v>99.7697704651232</v>
      </c>
    </row>
    <row r="247" spans="1:6" ht="12.75">
      <c r="A247" s="23"/>
      <c r="C247" s="6" t="s">
        <v>91</v>
      </c>
      <c r="D247" s="11">
        <f>62967+3304</f>
        <v>66271</v>
      </c>
      <c r="E247" s="75">
        <f>66000</f>
        <v>66000</v>
      </c>
      <c r="F247" s="45">
        <f t="shared" si="3"/>
        <v>99.59107301836399</v>
      </c>
    </row>
    <row r="248" spans="1:6" ht="12.75">
      <c r="A248" s="23"/>
      <c r="C248" s="6" t="s">
        <v>92</v>
      </c>
      <c r="D248" s="11">
        <f>11571+1624</f>
        <v>13195</v>
      </c>
      <c r="E248" s="75">
        <v>13150</v>
      </c>
      <c r="F248" s="45">
        <f t="shared" si="3"/>
        <v>99.65896172792725</v>
      </c>
    </row>
    <row r="249" spans="1:6" ht="12.75">
      <c r="A249" s="23"/>
      <c r="C249" s="6" t="s">
        <v>8</v>
      </c>
      <c r="D249" s="11">
        <f>100769-D248-D247</f>
        <v>21303</v>
      </c>
      <c r="E249" s="11">
        <v>21387</v>
      </c>
      <c r="F249" s="45">
        <f t="shared" si="3"/>
        <v>100.39431066047035</v>
      </c>
    </row>
    <row r="250" spans="1:6" ht="12.75">
      <c r="A250" s="23"/>
      <c r="C250" s="6" t="s">
        <v>9</v>
      </c>
      <c r="D250" s="13"/>
      <c r="E250" s="11"/>
      <c r="F250" s="25"/>
    </row>
    <row r="251" spans="1:6" ht="12.75">
      <c r="A251" s="23"/>
      <c r="B251" s="24">
        <v>80195</v>
      </c>
      <c r="C251" s="5" t="s">
        <v>19</v>
      </c>
      <c r="D251" s="10">
        <f>D253</f>
        <v>12784.67</v>
      </c>
      <c r="E251" s="10">
        <f>E253</f>
        <v>7000</v>
      </c>
      <c r="F251" s="25">
        <f t="shared" si="3"/>
        <v>54.75307536291512</v>
      </c>
    </row>
    <row r="252" spans="1:6" ht="12.75">
      <c r="A252" s="23"/>
      <c r="C252" s="20" t="s">
        <v>6</v>
      </c>
      <c r="D252" s="14"/>
      <c r="E252" s="11"/>
      <c r="F252" s="25"/>
    </row>
    <row r="253" spans="1:6" ht="12.75">
      <c r="A253" s="23"/>
      <c r="C253" s="49" t="s">
        <v>7</v>
      </c>
      <c r="D253" s="11">
        <f>SUM(D254:D257)</f>
        <v>12784.67</v>
      </c>
      <c r="E253" s="11">
        <v>7000</v>
      </c>
      <c r="F253" s="25">
        <f t="shared" si="3"/>
        <v>54.75307536291512</v>
      </c>
    </row>
    <row r="254" spans="1:6" ht="12.75">
      <c r="A254" s="23"/>
      <c r="C254" s="6" t="s">
        <v>91</v>
      </c>
      <c r="D254" s="11">
        <v>4833</v>
      </c>
      <c r="E254" s="11"/>
      <c r="F254" s="25"/>
    </row>
    <row r="255" spans="1:6" ht="12.75">
      <c r="A255" s="23"/>
      <c r="C255" s="6" t="s">
        <v>92</v>
      </c>
      <c r="D255" s="11">
        <f>833+2118.67</f>
        <v>2951.67</v>
      </c>
      <c r="E255" s="11"/>
      <c r="F255" s="25"/>
    </row>
    <row r="256" spans="1:6" ht="12.75">
      <c r="A256" s="23"/>
      <c r="C256" s="48" t="s">
        <v>8</v>
      </c>
      <c r="D256" s="11">
        <f>12784.67-D255-D254</f>
        <v>5000</v>
      </c>
      <c r="E256" s="11">
        <v>7000</v>
      </c>
      <c r="F256" s="25">
        <f t="shared" si="3"/>
        <v>140</v>
      </c>
    </row>
    <row r="257" spans="1:6" ht="12.75">
      <c r="A257" s="23"/>
      <c r="C257" s="74" t="s">
        <v>9</v>
      </c>
      <c r="D257" s="13"/>
      <c r="E257" s="11"/>
      <c r="F257" s="25"/>
    </row>
    <row r="258" spans="1:6" ht="12.75">
      <c r="A258" s="65"/>
      <c r="B258" s="70"/>
      <c r="C258" s="2" t="s">
        <v>66</v>
      </c>
      <c r="D258" s="18">
        <f>SUM(D259:D260)</f>
        <v>12102523.67</v>
      </c>
      <c r="E258" s="18">
        <f>SUM(E259:E260)</f>
        <v>10380051</v>
      </c>
      <c r="F258" s="25">
        <f t="shared" si="3"/>
        <v>85.76765708568946</v>
      </c>
    </row>
    <row r="259" spans="1:6" ht="12.75">
      <c r="A259" s="23"/>
      <c r="C259" s="82" t="s">
        <v>6</v>
      </c>
      <c r="D259" s="18">
        <f>D182</f>
        <v>0</v>
      </c>
      <c r="E259" s="18">
        <f>E182</f>
        <v>0</v>
      </c>
      <c r="F259" s="25"/>
    </row>
    <row r="260" spans="1:7" ht="12.75">
      <c r="A260" s="23"/>
      <c r="C260" s="57" t="s">
        <v>7</v>
      </c>
      <c r="D260" s="18">
        <f aca="true" t="shared" si="4" ref="D260:E263">D183+D190+D197+D204+D211+D218+D225+D232+D239+D246+D253</f>
        <v>12102523.67</v>
      </c>
      <c r="E260" s="18">
        <f t="shared" si="4"/>
        <v>10380051</v>
      </c>
      <c r="F260" s="25">
        <f t="shared" si="3"/>
        <v>85.76765708568946</v>
      </c>
      <c r="G260" s="7"/>
    </row>
    <row r="261" spans="1:6" ht="12.75">
      <c r="A261" s="23"/>
      <c r="C261" s="2" t="s">
        <v>93</v>
      </c>
      <c r="D261" s="18">
        <f t="shared" si="4"/>
        <v>7515139</v>
      </c>
      <c r="E261" s="18">
        <f t="shared" si="4"/>
        <v>6825565</v>
      </c>
      <c r="F261" s="25">
        <f t="shared" si="3"/>
        <v>90.82420165481969</v>
      </c>
    </row>
    <row r="262" spans="1:6" ht="12.75">
      <c r="A262" s="23"/>
      <c r="C262" s="83" t="s">
        <v>10</v>
      </c>
      <c r="D262" s="18">
        <f t="shared" si="4"/>
        <v>1409106.67</v>
      </c>
      <c r="E262" s="18">
        <f t="shared" si="4"/>
        <v>1328703</v>
      </c>
      <c r="F262" s="25">
        <f t="shared" si="3"/>
        <v>94.29399691933898</v>
      </c>
    </row>
    <row r="263" spans="1:6" ht="12.75">
      <c r="A263" s="23"/>
      <c r="C263" s="83" t="s">
        <v>8</v>
      </c>
      <c r="D263" s="18">
        <f t="shared" si="4"/>
        <v>2812378</v>
      </c>
      <c r="E263" s="18">
        <f t="shared" si="4"/>
        <v>1825783</v>
      </c>
      <c r="F263" s="25">
        <f>E263*100/D263</f>
        <v>64.91954495448336</v>
      </c>
    </row>
    <row r="264" spans="1:6" ht="12.75" customHeight="1">
      <c r="A264" s="23"/>
      <c r="C264" s="81" t="s">
        <v>9</v>
      </c>
      <c r="D264" s="18">
        <f>SUM(D257+D250+D236+D229+D222+D215+D208+D201+D194+D187)</f>
        <v>365900</v>
      </c>
      <c r="E264" s="18">
        <f>E187+E194+E201+E208+E215+E222+E229+E236+E243+E250+E257</f>
        <v>400000</v>
      </c>
      <c r="F264" s="25">
        <f t="shared" si="3"/>
        <v>109.31948619841486</v>
      </c>
    </row>
    <row r="265" spans="1:6" ht="20.25" customHeight="1">
      <c r="A265" s="61">
        <v>851</v>
      </c>
      <c r="B265" s="5"/>
      <c r="C265" s="5" t="s">
        <v>48</v>
      </c>
      <c r="D265" s="10">
        <f>D266+D273</f>
        <v>1218130</v>
      </c>
      <c r="E265" s="10">
        <f>E266+E273</f>
        <v>727664</v>
      </c>
      <c r="F265" s="25">
        <f t="shared" si="3"/>
        <v>59.73615295576006</v>
      </c>
    </row>
    <row r="266" spans="1:6" ht="20.25" customHeight="1">
      <c r="A266" s="65"/>
      <c r="B266" s="55">
        <v>85111</v>
      </c>
      <c r="C266" s="59" t="s">
        <v>95</v>
      </c>
      <c r="D266" s="10">
        <f>D267+D268</f>
        <v>309986</v>
      </c>
      <c r="E266" s="10">
        <f>E268</f>
        <v>38664</v>
      </c>
      <c r="F266" s="25">
        <f>E266*100/D266</f>
        <v>12.472821353222404</v>
      </c>
    </row>
    <row r="267" spans="1:6" ht="12" customHeight="1">
      <c r="A267" s="65"/>
      <c r="C267" s="44" t="s">
        <v>6</v>
      </c>
      <c r="D267" s="14">
        <v>309986</v>
      </c>
      <c r="E267" s="11"/>
      <c r="F267" s="45"/>
    </row>
    <row r="268" spans="1:6" ht="12" customHeight="1">
      <c r="A268" s="65"/>
      <c r="C268" s="44" t="s">
        <v>7</v>
      </c>
      <c r="D268" s="11">
        <f>SUM(D269:D272)</f>
        <v>0</v>
      </c>
      <c r="E268" s="11">
        <v>38664</v>
      </c>
      <c r="F268" s="45"/>
    </row>
    <row r="269" spans="1:6" ht="12.75" customHeight="1">
      <c r="A269" s="65"/>
      <c r="C269" s="6" t="s">
        <v>91</v>
      </c>
      <c r="D269" s="11"/>
      <c r="E269" s="11"/>
      <c r="F269" s="45"/>
    </row>
    <row r="270" spans="1:6" ht="14.25" customHeight="1">
      <c r="A270" s="65"/>
      <c r="C270" s="6" t="s">
        <v>92</v>
      </c>
      <c r="D270" s="11"/>
      <c r="E270" s="11"/>
      <c r="F270" s="45"/>
    </row>
    <row r="271" spans="1:6" ht="12.75" customHeight="1">
      <c r="A271" s="65"/>
      <c r="C271" s="6" t="s">
        <v>8</v>
      </c>
      <c r="D271" s="11"/>
      <c r="E271" s="11">
        <v>38664</v>
      </c>
      <c r="F271" s="45"/>
    </row>
    <row r="272" spans="1:6" ht="12.75" customHeight="1">
      <c r="A272" s="65"/>
      <c r="C272" s="74" t="s">
        <v>9</v>
      </c>
      <c r="D272" s="13"/>
      <c r="E272" s="13"/>
      <c r="F272" s="85"/>
    </row>
    <row r="273" spans="1:6" ht="51">
      <c r="A273" s="23"/>
      <c r="B273" s="5">
        <v>85156</v>
      </c>
      <c r="C273" s="59" t="s">
        <v>49</v>
      </c>
      <c r="D273" s="10">
        <f>D275</f>
        <v>908144</v>
      </c>
      <c r="E273" s="10">
        <f>E275</f>
        <v>689000</v>
      </c>
      <c r="F273" s="25">
        <f>E273*100/D273</f>
        <v>75.86902517662398</v>
      </c>
    </row>
    <row r="274" spans="1:6" ht="12.75">
      <c r="A274" s="23"/>
      <c r="C274" s="44" t="s">
        <v>6</v>
      </c>
      <c r="D274" s="14"/>
      <c r="E274" s="11"/>
      <c r="F274" s="45"/>
    </row>
    <row r="275" spans="1:6" ht="12.75">
      <c r="A275" s="23"/>
      <c r="C275" s="44" t="s">
        <v>7</v>
      </c>
      <c r="D275" s="11">
        <f>SUM(D276:D279)</f>
        <v>908144</v>
      </c>
      <c r="E275" s="11">
        <v>689000</v>
      </c>
      <c r="F275" s="45">
        <f aca="true" t="shared" si="5" ref="F275:F322">E275*100/D275</f>
        <v>75.86902517662398</v>
      </c>
    </row>
    <row r="276" spans="1:6" ht="12.75">
      <c r="A276" s="23"/>
      <c r="C276" s="6" t="s">
        <v>91</v>
      </c>
      <c r="D276" s="11"/>
      <c r="E276" s="11"/>
      <c r="F276" s="45"/>
    </row>
    <row r="277" spans="1:6" ht="12.75">
      <c r="A277" s="23"/>
      <c r="C277" s="6" t="s">
        <v>92</v>
      </c>
      <c r="D277" s="11"/>
      <c r="E277" s="11"/>
      <c r="F277" s="45"/>
    </row>
    <row r="278" spans="1:6" ht="12.75">
      <c r="A278" s="23"/>
      <c r="C278" s="6" t="s">
        <v>8</v>
      </c>
      <c r="D278" s="11">
        <v>908144</v>
      </c>
      <c r="E278" s="11">
        <v>689000</v>
      </c>
      <c r="F278" s="45">
        <f t="shared" si="5"/>
        <v>75.86902517662398</v>
      </c>
    </row>
    <row r="279" spans="1:6" ht="12.75">
      <c r="A279" s="23"/>
      <c r="C279" s="74" t="s">
        <v>9</v>
      </c>
      <c r="D279" s="13"/>
      <c r="E279" s="11"/>
      <c r="F279" s="45"/>
    </row>
    <row r="280" spans="1:6" ht="22.5" customHeight="1">
      <c r="A280" s="5">
        <v>852</v>
      </c>
      <c r="B280" s="5"/>
      <c r="C280" s="5" t="s">
        <v>50</v>
      </c>
      <c r="D280" s="10">
        <f>D281+D288+D295+D302</f>
        <v>4308770</v>
      </c>
      <c r="E280" s="10">
        <f>SUM(E281+E288+E295+E302)</f>
        <v>4359110</v>
      </c>
      <c r="F280" s="25">
        <f t="shared" si="5"/>
        <v>101.16831485551562</v>
      </c>
    </row>
    <row r="281" spans="1:6" ht="25.5">
      <c r="A281" s="51"/>
      <c r="B281" s="24">
        <v>85201</v>
      </c>
      <c r="C281" s="59" t="s">
        <v>51</v>
      </c>
      <c r="D281" s="10">
        <f>D283</f>
        <v>2963070</v>
      </c>
      <c r="E281" s="10">
        <f>E283</f>
        <v>3043300</v>
      </c>
      <c r="F281" s="25">
        <f t="shared" si="5"/>
        <v>102.70766468561324</v>
      </c>
    </row>
    <row r="282" spans="1:6" ht="12.75">
      <c r="A282" s="23"/>
      <c r="B282" s="51"/>
      <c r="C282" s="20" t="s">
        <v>6</v>
      </c>
      <c r="D282" s="14"/>
      <c r="E282" s="11"/>
      <c r="F282" s="25"/>
    </row>
    <row r="283" spans="1:7" ht="12.75">
      <c r="A283" s="23"/>
      <c r="B283" s="23"/>
      <c r="C283" s="49" t="s">
        <v>7</v>
      </c>
      <c r="D283" s="11">
        <f>SUM(D284:D287)</f>
        <v>2963070</v>
      </c>
      <c r="E283" s="11">
        <f>E284+E285+E286+E287</f>
        <v>3043300</v>
      </c>
      <c r="F283" s="45">
        <f t="shared" si="5"/>
        <v>102.70766468561324</v>
      </c>
      <c r="G283" s="7"/>
    </row>
    <row r="284" spans="1:6" ht="12.75">
      <c r="A284" s="23"/>
      <c r="B284" s="23"/>
      <c r="C284" s="47" t="s">
        <v>91</v>
      </c>
      <c r="D284" s="11">
        <f>758675+58325</f>
        <v>817000</v>
      </c>
      <c r="E284" s="11">
        <v>818300</v>
      </c>
      <c r="F284" s="45">
        <f t="shared" si="5"/>
        <v>100.15911872705018</v>
      </c>
    </row>
    <row r="285" spans="1:6" ht="12.75">
      <c r="A285" s="23"/>
      <c r="B285" s="23"/>
      <c r="C285" s="47" t="s">
        <v>92</v>
      </c>
      <c r="D285" s="11">
        <f>154845+21598</f>
        <v>176443</v>
      </c>
      <c r="E285" s="11">
        <v>135000</v>
      </c>
      <c r="F285" s="45">
        <f t="shared" si="5"/>
        <v>76.51196136996084</v>
      </c>
    </row>
    <row r="286" spans="1:6" ht="12.75">
      <c r="A286" s="23"/>
      <c r="B286" s="23"/>
      <c r="C286" s="48" t="s">
        <v>8</v>
      </c>
      <c r="D286" s="11">
        <f>2963070-D287-D285-D284</f>
        <v>697627</v>
      </c>
      <c r="E286" s="11">
        <v>690000</v>
      </c>
      <c r="F286" s="45">
        <f t="shared" si="5"/>
        <v>98.90672236022975</v>
      </c>
    </row>
    <row r="287" spans="1:6" ht="12.75">
      <c r="A287" s="23"/>
      <c r="B287" s="54"/>
      <c r="C287" s="74" t="s">
        <v>9</v>
      </c>
      <c r="D287" s="13">
        <v>1272000</v>
      </c>
      <c r="E287" s="11">
        <v>1400000</v>
      </c>
      <c r="F287" s="45">
        <f t="shared" si="5"/>
        <v>110.062893081761</v>
      </c>
    </row>
    <row r="288" spans="1:6" ht="12.75">
      <c r="A288" s="23"/>
      <c r="B288" s="24">
        <v>85203</v>
      </c>
      <c r="C288" s="5" t="s">
        <v>52</v>
      </c>
      <c r="D288" s="10">
        <f>D290</f>
        <v>246000</v>
      </c>
      <c r="E288" s="10">
        <f>E290</f>
        <v>274000</v>
      </c>
      <c r="F288" s="25">
        <f t="shared" si="5"/>
        <v>111.3821138211382</v>
      </c>
    </row>
    <row r="289" spans="1:6" ht="12.75">
      <c r="A289" s="23"/>
      <c r="B289" s="51"/>
      <c r="C289" s="20" t="s">
        <v>6</v>
      </c>
      <c r="D289" s="14"/>
      <c r="E289" s="11"/>
      <c r="F289" s="25"/>
    </row>
    <row r="290" spans="1:6" ht="12.75">
      <c r="A290" s="23"/>
      <c r="B290" s="23"/>
      <c r="C290" s="49" t="s">
        <v>7</v>
      </c>
      <c r="D290" s="11">
        <f>SUM(D291:D294)</f>
        <v>246000</v>
      </c>
      <c r="E290" s="11">
        <f>E291+E292+E293</f>
        <v>274000</v>
      </c>
      <c r="F290" s="45">
        <f t="shared" si="5"/>
        <v>111.3821138211382</v>
      </c>
    </row>
    <row r="291" spans="1:6" ht="12.75">
      <c r="A291" s="23"/>
      <c r="B291" s="23"/>
      <c r="C291" s="47" t="s">
        <v>91</v>
      </c>
      <c r="D291" s="11">
        <f>98600+8129</f>
        <v>106729</v>
      </c>
      <c r="E291" s="11">
        <f>112300+7620</f>
        <v>119920</v>
      </c>
      <c r="F291" s="45">
        <f t="shared" si="5"/>
        <v>112.35934001068127</v>
      </c>
    </row>
    <row r="292" spans="1:6" ht="12.75">
      <c r="A292" s="23"/>
      <c r="B292" s="23"/>
      <c r="C292" s="47" t="s">
        <v>92</v>
      </c>
      <c r="D292" s="11">
        <f>21500+3110</f>
        <v>24610</v>
      </c>
      <c r="E292" s="11">
        <f>18100+3000</f>
        <v>21100</v>
      </c>
      <c r="F292" s="45">
        <f t="shared" si="5"/>
        <v>85.73750507923609</v>
      </c>
    </row>
    <row r="293" spans="1:6" ht="12.75">
      <c r="A293" s="23"/>
      <c r="B293" s="23"/>
      <c r="C293" s="48" t="s">
        <v>8</v>
      </c>
      <c r="D293" s="11">
        <f>246000-D291-D292-D294</f>
        <v>108661</v>
      </c>
      <c r="E293" s="11">
        <f>274000-E291-E292-E294</f>
        <v>132980</v>
      </c>
      <c r="F293" s="45">
        <f t="shared" si="5"/>
        <v>122.38061494004289</v>
      </c>
    </row>
    <row r="294" spans="1:6" ht="12.75">
      <c r="A294" s="23"/>
      <c r="B294" s="54"/>
      <c r="C294" s="74" t="s">
        <v>9</v>
      </c>
      <c r="D294" s="13">
        <v>6000</v>
      </c>
      <c r="E294" s="10"/>
      <c r="F294" s="45">
        <f t="shared" si="5"/>
        <v>0</v>
      </c>
    </row>
    <row r="295" spans="1:6" ht="12.75">
      <c r="A295" s="23"/>
      <c r="B295" s="24">
        <v>85204</v>
      </c>
      <c r="C295" s="5" t="s">
        <v>53</v>
      </c>
      <c r="D295" s="10">
        <f>D297</f>
        <v>898200</v>
      </c>
      <c r="E295" s="10">
        <f>E297</f>
        <v>842610</v>
      </c>
      <c r="F295" s="25">
        <f t="shared" si="5"/>
        <v>93.81095524382097</v>
      </c>
    </row>
    <row r="296" spans="1:6" ht="12.75">
      <c r="A296" s="23"/>
      <c r="B296" s="51"/>
      <c r="C296" s="20" t="s">
        <v>6</v>
      </c>
      <c r="D296" s="11"/>
      <c r="E296" s="11"/>
      <c r="F296" s="45"/>
    </row>
    <row r="297" spans="1:6" ht="12.75">
      <c r="A297" s="23"/>
      <c r="B297" s="23"/>
      <c r="C297" s="49" t="s">
        <v>7</v>
      </c>
      <c r="D297" s="11">
        <f>SUM(D298:D301)</f>
        <v>898200</v>
      </c>
      <c r="E297" s="11">
        <f>SUM(E298:E301)</f>
        <v>842610</v>
      </c>
      <c r="F297" s="45">
        <f t="shared" si="5"/>
        <v>93.81095524382097</v>
      </c>
    </row>
    <row r="298" spans="1:6" ht="12.75">
      <c r="A298" s="23"/>
      <c r="B298" s="23"/>
      <c r="C298" s="47" t="s">
        <v>91</v>
      </c>
      <c r="D298" s="11"/>
      <c r="E298" s="11"/>
      <c r="F298" s="45"/>
    </row>
    <row r="299" spans="1:6" ht="12.75">
      <c r="A299" s="23"/>
      <c r="B299" s="23"/>
      <c r="C299" s="47" t="s">
        <v>92</v>
      </c>
      <c r="D299" s="11">
        <f>1800+300</f>
        <v>2100</v>
      </c>
      <c r="E299" s="11">
        <f>2250+360</f>
        <v>2610</v>
      </c>
      <c r="F299" s="45"/>
    </row>
    <row r="300" spans="1:6" ht="12.75">
      <c r="A300" s="23"/>
      <c r="B300" s="23"/>
      <c r="C300" s="48" t="s">
        <v>8</v>
      </c>
      <c r="D300" s="11">
        <v>796100</v>
      </c>
      <c r="E300" s="11">
        <v>740000</v>
      </c>
      <c r="F300" s="45">
        <f t="shared" si="5"/>
        <v>92.95314658962442</v>
      </c>
    </row>
    <row r="301" spans="1:6" ht="12.75">
      <c r="A301" s="23"/>
      <c r="B301" s="54"/>
      <c r="C301" s="74" t="s">
        <v>9</v>
      </c>
      <c r="D301" s="11">
        <v>100000</v>
      </c>
      <c r="E301" s="11">
        <v>100000</v>
      </c>
      <c r="F301" s="45">
        <f t="shared" si="5"/>
        <v>100</v>
      </c>
    </row>
    <row r="302" spans="1:6" ht="25.5">
      <c r="A302" s="23"/>
      <c r="B302" s="24">
        <v>85218</v>
      </c>
      <c r="C302" s="59" t="s">
        <v>54</v>
      </c>
      <c r="D302" s="10">
        <f>D303+D304</f>
        <v>201500</v>
      </c>
      <c r="E302" s="10">
        <f>E303+E304</f>
        <v>199200</v>
      </c>
      <c r="F302" s="25">
        <f t="shared" si="5"/>
        <v>98.85856079404466</v>
      </c>
    </row>
    <row r="303" spans="1:6" ht="12.75">
      <c r="A303" s="23"/>
      <c r="B303" s="51"/>
      <c r="C303" s="20" t="s">
        <v>6</v>
      </c>
      <c r="D303" s="14"/>
      <c r="E303" s="11"/>
      <c r="F303" s="25"/>
    </row>
    <row r="304" spans="1:6" ht="12.75">
      <c r="A304" s="23"/>
      <c r="B304" s="23"/>
      <c r="C304" s="49" t="s">
        <v>7</v>
      </c>
      <c r="D304" s="11">
        <f>SUM(D305:D308)</f>
        <v>201500</v>
      </c>
      <c r="E304" s="11">
        <f>E305+E306+E307</f>
        <v>199200</v>
      </c>
      <c r="F304" s="25">
        <f t="shared" si="5"/>
        <v>98.85856079404466</v>
      </c>
    </row>
    <row r="305" spans="1:6" ht="12.75">
      <c r="A305" s="23"/>
      <c r="B305" s="23"/>
      <c r="C305" s="47" t="s">
        <v>91</v>
      </c>
      <c r="D305" s="11">
        <f>118000+8978</f>
        <v>126978</v>
      </c>
      <c r="E305" s="11">
        <v>128000</v>
      </c>
      <c r="F305" s="25">
        <f t="shared" si="5"/>
        <v>100.80486383468002</v>
      </c>
    </row>
    <row r="306" spans="1:6" ht="12.75">
      <c r="A306" s="23"/>
      <c r="B306" s="23"/>
      <c r="C306" s="47" t="s">
        <v>92</v>
      </c>
      <c r="D306" s="11">
        <f>21600+3000</f>
        <v>24600</v>
      </c>
      <c r="E306" s="11">
        <v>22200</v>
      </c>
      <c r="F306" s="25">
        <f t="shared" si="5"/>
        <v>90.2439024390244</v>
      </c>
    </row>
    <row r="307" spans="1:6" ht="12.75">
      <c r="A307" s="23"/>
      <c r="B307" s="23"/>
      <c r="C307" s="48" t="s">
        <v>8</v>
      </c>
      <c r="D307" s="11">
        <f>201500-D306-D305</f>
        <v>49922</v>
      </c>
      <c r="E307" s="11">
        <v>49000</v>
      </c>
      <c r="F307" s="25">
        <f t="shared" si="5"/>
        <v>98.15311886543007</v>
      </c>
    </row>
    <row r="308" spans="1:6" ht="12.75">
      <c r="A308" s="54"/>
      <c r="B308" s="54"/>
      <c r="C308" s="6" t="s">
        <v>9</v>
      </c>
      <c r="D308" s="11"/>
      <c r="E308" s="11"/>
      <c r="F308" s="25"/>
    </row>
    <row r="309" spans="1:6" ht="42" customHeight="1">
      <c r="A309" s="5">
        <v>853</v>
      </c>
      <c r="B309" s="5"/>
      <c r="C309" s="59" t="s">
        <v>55</v>
      </c>
      <c r="D309" s="10">
        <f>D310+D317</f>
        <v>789600</v>
      </c>
      <c r="E309" s="10">
        <f>SUM(E310+E317)</f>
        <v>829035</v>
      </c>
      <c r="F309" s="25">
        <f t="shared" si="5"/>
        <v>104.9943009118541</v>
      </c>
    </row>
    <row r="310" spans="1:6" ht="25.5">
      <c r="A310" s="51"/>
      <c r="B310" s="24">
        <v>85321</v>
      </c>
      <c r="C310" s="59" t="s">
        <v>67</v>
      </c>
      <c r="D310" s="10">
        <f>D312</f>
        <v>93000</v>
      </c>
      <c r="E310" s="10">
        <f>E312</f>
        <v>117000</v>
      </c>
      <c r="F310" s="25">
        <f t="shared" si="5"/>
        <v>125.80645161290323</v>
      </c>
    </row>
    <row r="311" spans="1:6" ht="12.75">
      <c r="A311" s="23"/>
      <c r="B311" s="51"/>
      <c r="C311" s="20" t="s">
        <v>6</v>
      </c>
      <c r="D311" s="14"/>
      <c r="E311" s="11"/>
      <c r="F311" s="25"/>
    </row>
    <row r="312" spans="1:6" ht="12.75">
      <c r="A312" s="23"/>
      <c r="B312" s="23"/>
      <c r="C312" s="49" t="s">
        <v>7</v>
      </c>
      <c r="D312" s="11">
        <f>SUM(D313:D316)</f>
        <v>93000</v>
      </c>
      <c r="E312" s="11">
        <f>E313+E314+E315</f>
        <v>117000</v>
      </c>
      <c r="F312" s="45">
        <f t="shared" si="5"/>
        <v>125.80645161290323</v>
      </c>
    </row>
    <row r="313" spans="1:6" ht="12.75">
      <c r="A313" s="23"/>
      <c r="B313" s="23"/>
      <c r="C313" s="47" t="s">
        <v>91</v>
      </c>
      <c r="D313" s="11">
        <f>15450+1154</f>
        <v>16604</v>
      </c>
      <c r="E313" s="11">
        <f>37200+1350</f>
        <v>38550</v>
      </c>
      <c r="F313" s="45">
        <f t="shared" si="5"/>
        <v>232.17297036858588</v>
      </c>
    </row>
    <row r="314" spans="1:6" ht="12.75">
      <c r="A314" s="23"/>
      <c r="B314" s="23"/>
      <c r="C314" s="47" t="s">
        <v>92</v>
      </c>
      <c r="D314" s="11">
        <f>9500+700</f>
        <v>10200</v>
      </c>
      <c r="E314" s="11">
        <f>7500+1400</f>
        <v>8900</v>
      </c>
      <c r="F314" s="45">
        <f t="shared" si="5"/>
        <v>87.25490196078431</v>
      </c>
    </row>
    <row r="315" spans="1:6" ht="12.75">
      <c r="A315" s="23"/>
      <c r="B315" s="23"/>
      <c r="C315" s="48" t="s">
        <v>8</v>
      </c>
      <c r="D315" s="11">
        <f>93000-D314-D313</f>
        <v>66196</v>
      </c>
      <c r="E315" s="11">
        <f>117000-E313-E314-E316</f>
        <v>69550</v>
      </c>
      <c r="F315" s="45">
        <f t="shared" si="5"/>
        <v>105.06677140612726</v>
      </c>
    </row>
    <row r="316" spans="1:6" ht="12.75">
      <c r="A316" s="23"/>
      <c r="B316" s="54"/>
      <c r="C316" s="74" t="s">
        <v>9</v>
      </c>
      <c r="D316" s="13"/>
      <c r="E316" s="11"/>
      <c r="F316" s="45"/>
    </row>
    <row r="317" spans="1:6" ht="12.75">
      <c r="A317" s="23"/>
      <c r="B317" s="5">
        <v>85333</v>
      </c>
      <c r="C317" s="5" t="s">
        <v>56</v>
      </c>
      <c r="D317" s="10">
        <f>D319</f>
        <v>696600</v>
      </c>
      <c r="E317" s="10">
        <f>E319</f>
        <v>712035</v>
      </c>
      <c r="F317" s="25">
        <f t="shared" si="5"/>
        <v>102.2157622739018</v>
      </c>
    </row>
    <row r="318" spans="1:6" ht="12.75">
      <c r="A318" s="23"/>
      <c r="B318" s="51"/>
      <c r="C318" s="20" t="s">
        <v>6</v>
      </c>
      <c r="D318" s="11"/>
      <c r="E318" s="11"/>
      <c r="F318" s="45"/>
    </row>
    <row r="319" spans="1:6" ht="12.75">
      <c r="A319" s="23"/>
      <c r="B319" s="23"/>
      <c r="C319" s="49" t="s">
        <v>7</v>
      </c>
      <c r="D319" s="11">
        <f>SUM(D320:D323)</f>
        <v>696600</v>
      </c>
      <c r="E319" s="11">
        <f>E320+E321+E322</f>
        <v>712035</v>
      </c>
      <c r="F319" s="45">
        <f t="shared" si="5"/>
        <v>102.2157622739018</v>
      </c>
    </row>
    <row r="320" spans="1:6" ht="12.75">
      <c r="A320" s="23"/>
      <c r="B320" s="23"/>
      <c r="C320" s="47" t="s">
        <v>91</v>
      </c>
      <c r="D320" s="11">
        <f>494900+40382</f>
        <v>535282</v>
      </c>
      <c r="E320" s="11">
        <v>549835</v>
      </c>
      <c r="F320" s="45">
        <f t="shared" si="5"/>
        <v>102.7187538531092</v>
      </c>
    </row>
    <row r="321" spans="1:6" ht="12.75">
      <c r="A321" s="23"/>
      <c r="B321" s="23"/>
      <c r="C321" s="47" t="s">
        <v>92</v>
      </c>
      <c r="D321" s="11">
        <f>92195+13205</f>
        <v>105400</v>
      </c>
      <c r="E321" s="11">
        <v>107200</v>
      </c>
      <c r="F321" s="45">
        <f t="shared" si="5"/>
        <v>101.707779886148</v>
      </c>
    </row>
    <row r="322" spans="1:6" ht="12.75">
      <c r="A322" s="23"/>
      <c r="B322" s="23"/>
      <c r="C322" s="48" t="s">
        <v>8</v>
      </c>
      <c r="D322" s="11">
        <f>696600-D321-D320</f>
        <v>55918</v>
      </c>
      <c r="E322" s="11">
        <v>55000</v>
      </c>
      <c r="F322" s="45">
        <f t="shared" si="5"/>
        <v>98.35831038306091</v>
      </c>
    </row>
    <row r="323" spans="1:6" ht="12.75">
      <c r="A323" s="54"/>
      <c r="B323" s="54"/>
      <c r="C323" s="6" t="s">
        <v>9</v>
      </c>
      <c r="D323" s="11"/>
      <c r="E323" s="11"/>
      <c r="F323" s="25"/>
    </row>
    <row r="324" spans="1:6" ht="25.5">
      <c r="A324" s="5">
        <v>854</v>
      </c>
      <c r="B324" s="5"/>
      <c r="C324" s="59" t="s">
        <v>57</v>
      </c>
      <c r="D324" s="10">
        <f>D325+D332+D339+D346+D353+D360+D367</f>
        <v>2894795</v>
      </c>
      <c r="E324" s="10">
        <f>E325+E332+E339+E346+E353+E360+E367</f>
        <v>2205373</v>
      </c>
      <c r="F324" s="25">
        <f>E324*100/D324</f>
        <v>76.18408211980469</v>
      </c>
    </row>
    <row r="325" spans="1:6" ht="25.5">
      <c r="A325" s="23"/>
      <c r="B325" s="24">
        <v>85406</v>
      </c>
      <c r="C325" s="59" t="s">
        <v>58</v>
      </c>
      <c r="D325" s="10">
        <f>D327</f>
        <v>610067</v>
      </c>
      <c r="E325" s="10">
        <f>E327</f>
        <v>530103</v>
      </c>
      <c r="F325" s="25">
        <f>E325*100/D325</f>
        <v>86.89258720763458</v>
      </c>
    </row>
    <row r="326" spans="1:6" ht="12.75">
      <c r="A326" s="23"/>
      <c r="C326" s="20" t="s">
        <v>6</v>
      </c>
      <c r="D326" s="14"/>
      <c r="E326" s="11"/>
      <c r="F326" s="25"/>
    </row>
    <row r="327" spans="1:6" ht="12.75">
      <c r="A327" s="23"/>
      <c r="C327" s="49" t="s">
        <v>7</v>
      </c>
      <c r="D327" s="11">
        <f>SUM(D328:D331)</f>
        <v>610067</v>
      </c>
      <c r="E327" s="11">
        <f>E328+E329+E330</f>
        <v>530103</v>
      </c>
      <c r="F327" s="45">
        <f>E327*100/D327</f>
        <v>86.89258720763458</v>
      </c>
    </row>
    <row r="328" spans="1:8" ht="12.75">
      <c r="A328" s="23"/>
      <c r="C328" s="6" t="s">
        <v>91</v>
      </c>
      <c r="D328" s="11">
        <v>435207</v>
      </c>
      <c r="E328" s="11">
        <v>384503</v>
      </c>
      <c r="F328" s="45">
        <f>E328*100/D328</f>
        <v>88.34945209980538</v>
      </c>
      <c r="H328" s="7"/>
    </row>
    <row r="329" spans="1:6" ht="12.75">
      <c r="A329" s="23"/>
      <c r="C329" s="48" t="s">
        <v>10</v>
      </c>
      <c r="D329" s="11">
        <f>71969+10710</f>
        <v>82679</v>
      </c>
      <c r="E329" s="11">
        <v>75700</v>
      </c>
      <c r="F329" s="45">
        <f>E329*100/D329</f>
        <v>91.55892064490378</v>
      </c>
    </row>
    <row r="330" spans="1:6" ht="12.75">
      <c r="A330" s="23"/>
      <c r="C330" s="48" t="s">
        <v>8</v>
      </c>
      <c r="D330" s="11">
        <v>92181</v>
      </c>
      <c r="E330" s="11">
        <v>69900</v>
      </c>
      <c r="F330" s="45">
        <f>E330*100/D330</f>
        <v>75.82907540599473</v>
      </c>
    </row>
    <row r="331" spans="1:6" ht="12.75">
      <c r="A331" s="23"/>
      <c r="C331" s="69" t="s">
        <v>9</v>
      </c>
      <c r="D331" s="13"/>
      <c r="E331" s="11"/>
      <c r="F331" s="25"/>
    </row>
    <row r="332" spans="1:6" ht="12.75">
      <c r="A332" s="23"/>
      <c r="B332" s="24">
        <v>85410</v>
      </c>
      <c r="C332" s="2" t="s">
        <v>59</v>
      </c>
      <c r="D332" s="10">
        <f>D334</f>
        <v>174100</v>
      </c>
      <c r="E332" s="10">
        <f>E334</f>
        <v>163510</v>
      </c>
      <c r="F332" s="25">
        <f>E332*100/D332</f>
        <v>93.917288914417</v>
      </c>
    </row>
    <row r="333" spans="1:6" ht="12.75">
      <c r="A333" s="23"/>
      <c r="C333" s="20" t="s">
        <v>6</v>
      </c>
      <c r="D333" s="14"/>
      <c r="E333" s="11"/>
      <c r="F333" s="25"/>
    </row>
    <row r="334" spans="1:6" ht="12.75">
      <c r="A334" s="23"/>
      <c r="C334" s="44" t="s">
        <v>7</v>
      </c>
      <c r="D334" s="11">
        <f>SUM(D335:D338)</f>
        <v>174100</v>
      </c>
      <c r="E334" s="11">
        <f>E335+E336+E337</f>
        <v>163510</v>
      </c>
      <c r="F334" s="45">
        <f>E334*100/D334</f>
        <v>93.917288914417</v>
      </c>
    </row>
    <row r="335" spans="1:6" ht="12.75">
      <c r="A335" s="23"/>
      <c r="C335" s="6" t="s">
        <v>91</v>
      </c>
      <c r="D335" s="11">
        <v>123000</v>
      </c>
      <c r="E335" s="11">
        <v>113310</v>
      </c>
      <c r="F335" s="45">
        <f>E335*100/D335</f>
        <v>92.1219512195122</v>
      </c>
    </row>
    <row r="336" spans="1:6" ht="12.75">
      <c r="A336" s="23"/>
      <c r="C336" s="6" t="s">
        <v>10</v>
      </c>
      <c r="D336" s="11">
        <v>23100</v>
      </c>
      <c r="E336" s="11">
        <v>22200</v>
      </c>
      <c r="F336" s="45">
        <f>E336*100/D336</f>
        <v>96.1038961038961</v>
      </c>
    </row>
    <row r="337" spans="1:6" ht="12.75">
      <c r="A337" s="23"/>
      <c r="C337" s="6" t="s">
        <v>8</v>
      </c>
      <c r="D337" s="11">
        <v>28000</v>
      </c>
      <c r="E337" s="11">
        <v>28000</v>
      </c>
      <c r="F337" s="45">
        <f>E337*100/D337</f>
        <v>100</v>
      </c>
    </row>
    <row r="338" spans="1:6" ht="12.75">
      <c r="A338" s="23"/>
      <c r="C338" s="69" t="s">
        <v>9</v>
      </c>
      <c r="D338" s="13"/>
      <c r="E338" s="11"/>
      <c r="F338" s="25"/>
    </row>
    <row r="339" spans="1:6" ht="12.75">
      <c r="A339" s="23"/>
      <c r="B339" s="24">
        <v>85412</v>
      </c>
      <c r="C339" s="2" t="s">
        <v>60</v>
      </c>
      <c r="D339" s="10">
        <v>2000</v>
      </c>
      <c r="E339" s="10">
        <v>2000</v>
      </c>
      <c r="F339" s="25">
        <f>E339*100/D339</f>
        <v>100</v>
      </c>
    </row>
    <row r="340" spans="1:6" ht="12.75">
      <c r="A340" s="23"/>
      <c r="C340" s="44" t="s">
        <v>6</v>
      </c>
      <c r="D340" s="14"/>
      <c r="E340" s="11"/>
      <c r="F340" s="25"/>
    </row>
    <row r="341" spans="1:6" ht="12.75">
      <c r="A341" s="23"/>
      <c r="C341" s="44" t="s">
        <v>7</v>
      </c>
      <c r="D341" s="11">
        <f>SUM(D342:D345)</f>
        <v>2000</v>
      </c>
      <c r="E341" s="11">
        <v>2000</v>
      </c>
      <c r="F341" s="45">
        <f>E341*100/D341</f>
        <v>100</v>
      </c>
    </row>
    <row r="342" spans="1:6" ht="12.75">
      <c r="A342" s="23"/>
      <c r="C342" s="6" t="s">
        <v>91</v>
      </c>
      <c r="D342" s="11"/>
      <c r="E342" s="11"/>
      <c r="F342" s="45"/>
    </row>
    <row r="343" spans="1:6" ht="12.75">
      <c r="A343" s="23"/>
      <c r="C343" s="6" t="s">
        <v>10</v>
      </c>
      <c r="D343" s="11"/>
      <c r="E343" s="11"/>
      <c r="F343" s="45"/>
    </row>
    <row r="344" spans="1:6" ht="12.75">
      <c r="A344" s="23"/>
      <c r="C344" s="6" t="s">
        <v>8</v>
      </c>
      <c r="D344" s="11"/>
      <c r="E344" s="11"/>
      <c r="F344" s="45"/>
    </row>
    <row r="345" spans="1:6" ht="12.75">
      <c r="A345" s="23"/>
      <c r="C345" s="69" t="s">
        <v>9</v>
      </c>
      <c r="D345" s="13">
        <v>2000</v>
      </c>
      <c r="E345" s="13">
        <v>2000</v>
      </c>
      <c r="F345" s="85">
        <f>E345*100/D345</f>
        <v>100</v>
      </c>
    </row>
    <row r="346" spans="1:6" ht="12.75">
      <c r="A346" s="23"/>
      <c r="B346" s="78">
        <v>85420</v>
      </c>
      <c r="C346" s="86" t="s">
        <v>78</v>
      </c>
      <c r="D346" s="22">
        <f>D347+D348</f>
        <v>947876</v>
      </c>
      <c r="E346" s="22">
        <f>E348</f>
        <v>831760</v>
      </c>
      <c r="F346" s="85">
        <f>E346*100/D346</f>
        <v>87.7498744561525</v>
      </c>
    </row>
    <row r="347" spans="1:6" ht="12.75">
      <c r="A347" s="23"/>
      <c r="C347" s="69" t="s">
        <v>6</v>
      </c>
      <c r="D347" s="13">
        <v>71300</v>
      </c>
      <c r="E347" s="13"/>
      <c r="F347" s="85"/>
    </row>
    <row r="348" spans="1:6" ht="12.75">
      <c r="A348" s="23"/>
      <c r="C348" s="69" t="s">
        <v>7</v>
      </c>
      <c r="D348" s="13">
        <f>SUM(D349:D352)</f>
        <v>876576</v>
      </c>
      <c r="E348" s="13">
        <f>E349+E350+E351</f>
        <v>831760</v>
      </c>
      <c r="F348" s="85">
        <f aca="true" t="shared" si="6" ref="F348:F358">E348*100/D348</f>
        <v>94.88737998758808</v>
      </c>
    </row>
    <row r="349" spans="1:6" ht="12.75">
      <c r="A349" s="23"/>
      <c r="C349" s="6" t="s">
        <v>91</v>
      </c>
      <c r="D349" s="13">
        <f>519646+34578</f>
        <v>554224</v>
      </c>
      <c r="E349" s="13">
        <v>573960</v>
      </c>
      <c r="F349" s="85">
        <f t="shared" si="6"/>
        <v>103.56101504084991</v>
      </c>
    </row>
    <row r="350" spans="1:6" ht="12.75">
      <c r="A350" s="23"/>
      <c r="C350" s="48" t="s">
        <v>10</v>
      </c>
      <c r="D350" s="13">
        <f>97220+10780</f>
        <v>108000</v>
      </c>
      <c r="E350" s="13">
        <v>115800</v>
      </c>
      <c r="F350" s="85">
        <f t="shared" si="6"/>
        <v>107.22222222222223</v>
      </c>
    </row>
    <row r="351" spans="1:6" ht="12.75">
      <c r="A351" s="23"/>
      <c r="C351" s="48" t="s">
        <v>8</v>
      </c>
      <c r="D351" s="13">
        <f>947876-D347-D349-D350-D352</f>
        <v>214352</v>
      </c>
      <c r="E351" s="13">
        <v>142000</v>
      </c>
      <c r="F351" s="85">
        <f t="shared" si="6"/>
        <v>66.24617451668284</v>
      </c>
    </row>
    <row r="352" spans="1:6" ht="12.75">
      <c r="A352" s="23"/>
      <c r="C352" s="69" t="s">
        <v>9</v>
      </c>
      <c r="D352" s="13"/>
      <c r="E352" s="13"/>
      <c r="F352" s="85"/>
    </row>
    <row r="353" spans="1:6" ht="12.75">
      <c r="A353" s="23"/>
      <c r="B353" s="78">
        <v>85421</v>
      </c>
      <c r="C353" s="86" t="s">
        <v>79</v>
      </c>
      <c r="D353" s="22">
        <f>D355</f>
        <v>747270</v>
      </c>
      <c r="E353" s="22">
        <f>E355</f>
        <v>669000</v>
      </c>
      <c r="F353" s="85">
        <f t="shared" si="6"/>
        <v>89.52587418202256</v>
      </c>
    </row>
    <row r="354" spans="1:6" ht="12.75">
      <c r="A354" s="23"/>
      <c r="C354" s="69" t="s">
        <v>6</v>
      </c>
      <c r="D354" s="13"/>
      <c r="E354" s="13"/>
      <c r="F354" s="85"/>
    </row>
    <row r="355" spans="1:6" ht="12.75">
      <c r="A355" s="23"/>
      <c r="C355" s="44" t="s">
        <v>7</v>
      </c>
      <c r="D355" s="13">
        <f>SUM(D356:D359)</f>
        <v>747270</v>
      </c>
      <c r="E355" s="13">
        <f>E356+E358+E357</f>
        <v>669000</v>
      </c>
      <c r="F355" s="85">
        <f t="shared" si="6"/>
        <v>89.52587418202256</v>
      </c>
    </row>
    <row r="356" spans="1:6" ht="12.75">
      <c r="A356" s="23"/>
      <c r="C356" s="6" t="s">
        <v>91</v>
      </c>
      <c r="D356" s="13">
        <f>386095+18905</f>
        <v>405000</v>
      </c>
      <c r="E356" s="75">
        <v>415000</v>
      </c>
      <c r="F356" s="85">
        <f t="shared" si="6"/>
        <v>102.46913580246914</v>
      </c>
    </row>
    <row r="357" spans="1:6" ht="12.75">
      <c r="A357" s="23"/>
      <c r="C357" s="6" t="s">
        <v>10</v>
      </c>
      <c r="D357" s="13">
        <f>72348+9922</f>
        <v>82270</v>
      </c>
      <c r="E357" s="13">
        <v>84000</v>
      </c>
      <c r="F357" s="85">
        <f t="shared" si="6"/>
        <v>102.10283213808192</v>
      </c>
    </row>
    <row r="358" spans="1:6" ht="12.75">
      <c r="A358" s="23"/>
      <c r="C358" s="48" t="s">
        <v>8</v>
      </c>
      <c r="D358" s="13">
        <f>747270-D357-D356</f>
        <v>260000</v>
      </c>
      <c r="E358" s="13">
        <v>170000</v>
      </c>
      <c r="F358" s="85">
        <f t="shared" si="6"/>
        <v>65.38461538461539</v>
      </c>
    </row>
    <row r="359" spans="1:6" ht="12.75">
      <c r="A359" s="23"/>
      <c r="C359" s="69" t="s">
        <v>9</v>
      </c>
      <c r="D359" s="13"/>
      <c r="E359" s="13"/>
      <c r="F359" s="85"/>
    </row>
    <row r="360" spans="1:6" ht="12.75">
      <c r="A360" s="23"/>
      <c r="B360" s="61">
        <v>85415</v>
      </c>
      <c r="C360" s="5" t="s">
        <v>72</v>
      </c>
      <c r="D360" s="10">
        <f>D362</f>
        <v>404482</v>
      </c>
      <c r="E360" s="10"/>
      <c r="F360" s="85">
        <f aca="true" t="shared" si="7" ref="F360:F365">E360*100/D360</f>
        <v>0</v>
      </c>
    </row>
    <row r="361" spans="1:6" ht="12.75">
      <c r="A361" s="50"/>
      <c r="B361" s="51"/>
      <c r="C361" s="20" t="s">
        <v>6</v>
      </c>
      <c r="D361" s="11"/>
      <c r="E361" s="11">
        <v>0</v>
      </c>
      <c r="F361" s="85"/>
    </row>
    <row r="362" spans="1:6" ht="12.75">
      <c r="A362" s="50"/>
      <c r="B362" s="23"/>
      <c r="C362" s="49" t="s">
        <v>7</v>
      </c>
      <c r="D362" s="11">
        <f>SUM(D363:D366)</f>
        <v>404482</v>
      </c>
      <c r="E362" s="11"/>
      <c r="F362" s="85">
        <f t="shared" si="7"/>
        <v>0</v>
      </c>
    </row>
    <row r="363" spans="1:6" ht="12.75">
      <c r="A363" s="50"/>
      <c r="B363" s="23"/>
      <c r="C363" s="47" t="s">
        <v>91</v>
      </c>
      <c r="D363" s="11">
        <v>14154</v>
      </c>
      <c r="E363" s="11"/>
      <c r="F363" s="85">
        <f t="shared" si="7"/>
        <v>0</v>
      </c>
    </row>
    <row r="364" spans="1:6" ht="12.75">
      <c r="A364" s="50"/>
      <c r="B364" s="23"/>
      <c r="C364" s="48" t="s">
        <v>10</v>
      </c>
      <c r="D364" s="11">
        <v>10831</v>
      </c>
      <c r="E364" s="11"/>
      <c r="F364" s="85">
        <f t="shared" si="7"/>
        <v>0</v>
      </c>
    </row>
    <row r="365" spans="1:6" ht="12.75">
      <c r="A365" s="50"/>
      <c r="B365" s="23"/>
      <c r="C365" s="48" t="s">
        <v>8</v>
      </c>
      <c r="D365" s="11">
        <f>404482-D364-D363</f>
        <v>379497</v>
      </c>
      <c r="E365" s="11"/>
      <c r="F365" s="85">
        <f t="shared" si="7"/>
        <v>0</v>
      </c>
    </row>
    <row r="366" spans="1:6" ht="12.75">
      <c r="A366" s="50"/>
      <c r="B366" s="54"/>
      <c r="C366" s="6" t="s">
        <v>9</v>
      </c>
      <c r="D366" s="11"/>
      <c r="E366" s="11"/>
      <c r="F366" s="87"/>
    </row>
    <row r="367" spans="1:6" ht="12.75">
      <c r="A367" s="23"/>
      <c r="B367" s="61">
        <v>85446</v>
      </c>
      <c r="C367" s="5" t="s">
        <v>80</v>
      </c>
      <c r="D367" s="10">
        <f>D369</f>
        <v>9000</v>
      </c>
      <c r="E367" s="10">
        <v>9000</v>
      </c>
      <c r="F367" s="85">
        <f>E367*100/D367</f>
        <v>100</v>
      </c>
    </row>
    <row r="368" spans="1:6" ht="12.75">
      <c r="A368" s="50"/>
      <c r="B368" s="51"/>
      <c r="C368" s="20" t="s">
        <v>6</v>
      </c>
      <c r="D368" s="11"/>
      <c r="E368" s="11">
        <v>0</v>
      </c>
      <c r="F368" s="85"/>
    </row>
    <row r="369" spans="1:6" ht="12.75">
      <c r="A369" s="50"/>
      <c r="B369" s="23"/>
      <c r="C369" s="49" t="s">
        <v>7</v>
      </c>
      <c r="D369" s="11">
        <f>SUM(D370:D373)</f>
        <v>9000</v>
      </c>
      <c r="E369" s="11">
        <v>9000</v>
      </c>
      <c r="F369" s="85">
        <f>E369*100/D369</f>
        <v>100</v>
      </c>
    </row>
    <row r="370" spans="1:6" ht="12.75">
      <c r="A370" s="50"/>
      <c r="B370" s="23"/>
      <c r="C370" s="47" t="s">
        <v>91</v>
      </c>
      <c r="D370" s="11"/>
      <c r="E370" s="11"/>
      <c r="F370" s="85"/>
    </row>
    <row r="371" spans="1:6" ht="12.75">
      <c r="A371" s="50"/>
      <c r="B371" s="23"/>
      <c r="C371" s="48" t="s">
        <v>10</v>
      </c>
      <c r="D371" s="11"/>
      <c r="E371" s="11"/>
      <c r="F371" s="85"/>
    </row>
    <row r="372" spans="1:6" ht="12.75">
      <c r="A372" s="50"/>
      <c r="B372" s="23"/>
      <c r="C372" s="48" t="s">
        <v>8</v>
      </c>
      <c r="D372" s="11">
        <v>9000</v>
      </c>
      <c r="E372" s="11">
        <v>9000</v>
      </c>
      <c r="F372" s="85">
        <f>E372*100/D372</f>
        <v>100</v>
      </c>
    </row>
    <row r="373" spans="1:6" ht="12.75">
      <c r="A373" s="50"/>
      <c r="B373" s="54"/>
      <c r="C373" s="6" t="s">
        <v>9</v>
      </c>
      <c r="D373" s="11"/>
      <c r="E373" s="11"/>
      <c r="F373" s="87"/>
    </row>
    <row r="374" spans="1:6" ht="24">
      <c r="A374" s="5">
        <v>921</v>
      </c>
      <c r="B374" s="5"/>
      <c r="C374" s="4" t="s">
        <v>96</v>
      </c>
      <c r="D374" s="10">
        <f>D375+D382+D389+D396</f>
        <v>65600</v>
      </c>
      <c r="E374" s="10">
        <f>E375+E382+E389+E396</f>
        <v>55600</v>
      </c>
      <c r="F374" s="25">
        <f>E374*100/D374</f>
        <v>84.7560975609756</v>
      </c>
    </row>
    <row r="375" spans="1:6" ht="16.5" customHeight="1">
      <c r="A375" s="51"/>
      <c r="B375" s="24">
        <v>92116</v>
      </c>
      <c r="C375" s="5" t="s">
        <v>61</v>
      </c>
      <c r="D375" s="10">
        <f>D377</f>
        <v>15600</v>
      </c>
      <c r="E375" s="10">
        <f>E377</f>
        <v>15600</v>
      </c>
      <c r="F375" s="25">
        <f>E375*100/D375</f>
        <v>100</v>
      </c>
    </row>
    <row r="376" spans="1:6" ht="12.75">
      <c r="A376" s="23"/>
      <c r="B376" s="68"/>
      <c r="C376" s="20" t="s">
        <v>6</v>
      </c>
      <c r="D376" s="14"/>
      <c r="E376" s="11"/>
      <c r="F376" s="25"/>
    </row>
    <row r="377" spans="1:6" ht="12.75">
      <c r="A377" s="23"/>
      <c r="B377" s="53"/>
      <c r="C377" s="49" t="s">
        <v>7</v>
      </c>
      <c r="D377" s="12">
        <f>SUM(D378:D381)</f>
        <v>15600</v>
      </c>
      <c r="E377" s="11">
        <v>15600</v>
      </c>
      <c r="F377" s="45">
        <f>E377*100/D377</f>
        <v>100</v>
      </c>
    </row>
    <row r="378" spans="1:6" ht="12.75">
      <c r="A378" s="23"/>
      <c r="B378" s="53"/>
      <c r="C378" s="47" t="s">
        <v>91</v>
      </c>
      <c r="D378" s="12"/>
      <c r="E378" s="11"/>
      <c r="F378" s="45"/>
    </row>
    <row r="379" spans="1:6" ht="12.75">
      <c r="A379" s="23"/>
      <c r="B379" s="53"/>
      <c r="C379" s="48" t="s">
        <v>10</v>
      </c>
      <c r="D379" s="12"/>
      <c r="E379" s="11"/>
      <c r="F379" s="45"/>
    </row>
    <row r="380" spans="1:6" ht="12.75">
      <c r="A380" s="23"/>
      <c r="B380" s="53"/>
      <c r="C380" s="48" t="s">
        <v>8</v>
      </c>
      <c r="D380" s="12"/>
      <c r="E380" s="11"/>
      <c r="F380" s="45"/>
    </row>
    <row r="381" spans="1:6" ht="12.75">
      <c r="A381" s="23"/>
      <c r="B381" s="60"/>
      <c r="C381" s="6" t="s">
        <v>9</v>
      </c>
      <c r="D381" s="12">
        <v>15600</v>
      </c>
      <c r="E381" s="11">
        <v>15600</v>
      </c>
      <c r="F381" s="45">
        <f>E381*100/D381</f>
        <v>100</v>
      </c>
    </row>
    <row r="382" spans="1:6" ht="12.75">
      <c r="A382" s="23"/>
      <c r="B382" s="84">
        <v>92105</v>
      </c>
      <c r="C382" s="2" t="s">
        <v>75</v>
      </c>
      <c r="D382" s="10">
        <f>D384</f>
        <v>10000</v>
      </c>
      <c r="E382" s="10">
        <f>E384</f>
        <v>0</v>
      </c>
      <c r="F382" s="45">
        <f aca="true" t="shared" si="8" ref="F382:F387">E382*100/D382</f>
        <v>0</v>
      </c>
    </row>
    <row r="383" spans="1:6" ht="12.75">
      <c r="A383" s="50"/>
      <c r="B383" s="51"/>
      <c r="C383" s="58" t="s">
        <v>6</v>
      </c>
      <c r="D383" s="12"/>
      <c r="E383" s="11"/>
      <c r="F383" s="45"/>
    </row>
    <row r="384" spans="1:6" ht="12.75">
      <c r="A384" s="50"/>
      <c r="B384" s="23"/>
      <c r="C384" s="52" t="s">
        <v>7</v>
      </c>
      <c r="D384" s="12">
        <f>SUM(D385:D388)</f>
        <v>10000</v>
      </c>
      <c r="E384" s="11"/>
      <c r="F384" s="45">
        <f t="shared" si="8"/>
        <v>0</v>
      </c>
    </row>
    <row r="385" spans="1:6" ht="12.75">
      <c r="A385" s="50"/>
      <c r="B385" s="23"/>
      <c r="C385" s="47" t="s">
        <v>91</v>
      </c>
      <c r="D385" s="12"/>
      <c r="E385" s="11"/>
      <c r="F385" s="45"/>
    </row>
    <row r="386" spans="1:6" ht="12.75">
      <c r="A386" s="50"/>
      <c r="B386" s="23"/>
      <c r="C386" s="47" t="s">
        <v>10</v>
      </c>
      <c r="D386" s="12"/>
      <c r="E386" s="11"/>
      <c r="F386" s="45"/>
    </row>
    <row r="387" spans="1:6" ht="12.75">
      <c r="A387" s="50"/>
      <c r="B387" s="23"/>
      <c r="C387" s="47" t="s">
        <v>8</v>
      </c>
      <c r="D387" s="12">
        <v>10000</v>
      </c>
      <c r="E387" s="11"/>
      <c r="F387" s="45">
        <f t="shared" si="8"/>
        <v>0</v>
      </c>
    </row>
    <row r="388" spans="1:6" ht="12.75">
      <c r="A388" s="50"/>
      <c r="B388" s="54"/>
      <c r="C388" s="88" t="s">
        <v>9</v>
      </c>
      <c r="D388" s="12"/>
      <c r="E388" s="11"/>
      <c r="F388" s="45"/>
    </row>
    <row r="389" spans="1:6" ht="12.75">
      <c r="A389" s="65"/>
      <c r="B389" s="55">
        <v>92120</v>
      </c>
      <c r="C389" s="5" t="s">
        <v>62</v>
      </c>
      <c r="D389" s="10">
        <v>5000</v>
      </c>
      <c r="E389" s="10">
        <v>5000</v>
      </c>
      <c r="F389" s="25">
        <f>E389*100/D389</f>
        <v>100</v>
      </c>
    </row>
    <row r="390" spans="1:6" ht="12.75">
      <c r="A390" s="23"/>
      <c r="C390" s="20" t="s">
        <v>6</v>
      </c>
      <c r="D390" s="14"/>
      <c r="E390" s="11"/>
      <c r="F390" s="45"/>
    </row>
    <row r="391" spans="1:6" ht="12.75">
      <c r="A391" s="23"/>
      <c r="C391" s="49" t="s">
        <v>7</v>
      </c>
      <c r="D391" s="11">
        <f>SUM(D392:D395)</f>
        <v>5000</v>
      </c>
      <c r="E391" s="11">
        <v>5000</v>
      </c>
      <c r="F391" s="45">
        <f>E391*100/D391</f>
        <v>100</v>
      </c>
    </row>
    <row r="392" spans="1:6" ht="12.75">
      <c r="A392" s="23"/>
      <c r="C392" s="6" t="s">
        <v>91</v>
      </c>
      <c r="D392" s="11"/>
      <c r="E392" s="11"/>
      <c r="F392" s="45"/>
    </row>
    <row r="393" spans="1:6" ht="12.75">
      <c r="A393" s="23"/>
      <c r="C393" s="48" t="s">
        <v>10</v>
      </c>
      <c r="D393" s="11"/>
      <c r="E393" s="11"/>
      <c r="F393" s="45"/>
    </row>
    <row r="394" spans="1:6" ht="12.75">
      <c r="A394" s="23"/>
      <c r="C394" s="48" t="s">
        <v>8</v>
      </c>
      <c r="D394" s="11"/>
      <c r="E394" s="11"/>
      <c r="F394" s="45"/>
    </row>
    <row r="395" spans="1:6" ht="12.75">
      <c r="A395" s="23"/>
      <c r="C395" s="69" t="s">
        <v>9</v>
      </c>
      <c r="D395" s="13">
        <v>5000</v>
      </c>
      <c r="E395" s="11">
        <v>5000</v>
      </c>
      <c r="F395" s="45">
        <f>E395*100/D395</f>
        <v>100</v>
      </c>
    </row>
    <row r="396" spans="1:6" ht="12.75">
      <c r="A396" s="23"/>
      <c r="B396" s="24">
        <v>92195</v>
      </c>
      <c r="C396" s="5" t="s">
        <v>19</v>
      </c>
      <c r="D396" s="10">
        <v>35000</v>
      </c>
      <c r="E396" s="10">
        <v>35000</v>
      </c>
      <c r="F396" s="25">
        <f>E396*100/D396</f>
        <v>100</v>
      </c>
    </row>
    <row r="397" spans="1:6" ht="12.75">
      <c r="A397" s="23"/>
      <c r="C397" s="20" t="s">
        <v>6</v>
      </c>
      <c r="D397" s="11"/>
      <c r="E397" s="11"/>
      <c r="F397" s="45"/>
    </row>
    <row r="398" spans="1:6" ht="12.75">
      <c r="A398" s="23"/>
      <c r="C398" s="49" t="s">
        <v>7</v>
      </c>
      <c r="D398" s="11">
        <f>SUM(D399:D402)</f>
        <v>35000</v>
      </c>
      <c r="E398" s="11">
        <v>35000</v>
      </c>
      <c r="F398" s="45">
        <f>E398*100/D398</f>
        <v>100</v>
      </c>
    </row>
    <row r="399" spans="1:6" ht="12.75">
      <c r="A399" s="23"/>
      <c r="C399" s="6" t="s">
        <v>91</v>
      </c>
      <c r="D399" s="11"/>
      <c r="E399" s="11"/>
      <c r="F399" s="45"/>
    </row>
    <row r="400" spans="1:6" ht="12.75">
      <c r="A400" s="23"/>
      <c r="C400" s="48" t="s">
        <v>10</v>
      </c>
      <c r="D400" s="11"/>
      <c r="E400" s="11"/>
      <c r="F400" s="45"/>
    </row>
    <row r="401" spans="1:6" ht="12.75">
      <c r="A401" s="23"/>
      <c r="C401" s="48" t="s">
        <v>8</v>
      </c>
      <c r="D401" s="11">
        <v>12000</v>
      </c>
      <c r="E401" s="11">
        <v>12000</v>
      </c>
      <c r="F401" s="45">
        <f>E401*100/D401</f>
        <v>100</v>
      </c>
    </row>
    <row r="402" spans="1:6" ht="12.75">
      <c r="A402" s="54"/>
      <c r="C402" s="69" t="s">
        <v>9</v>
      </c>
      <c r="D402" s="11">
        <f>10000+5000+6000+2000</f>
        <v>23000</v>
      </c>
      <c r="E402" s="11">
        <v>23000</v>
      </c>
      <c r="F402" s="45">
        <f>E402*100/D402</f>
        <v>100</v>
      </c>
    </row>
    <row r="403" spans="1:6" ht="12.75">
      <c r="A403" s="5">
        <v>926</v>
      </c>
      <c r="B403" s="5"/>
      <c r="C403" s="5" t="s">
        <v>63</v>
      </c>
      <c r="D403" s="10">
        <f>D404</f>
        <v>19000</v>
      </c>
      <c r="E403" s="10">
        <f>E404</f>
        <v>20000</v>
      </c>
      <c r="F403" s="25">
        <f>E403*100/D403</f>
        <v>105.26315789473684</v>
      </c>
    </row>
    <row r="404" spans="1:6" ht="12.75">
      <c r="A404" s="51"/>
      <c r="B404" s="24">
        <v>92695</v>
      </c>
      <c r="C404" s="5" t="s">
        <v>64</v>
      </c>
      <c r="D404" s="10">
        <v>19000</v>
      </c>
      <c r="E404" s="10">
        <f>E406</f>
        <v>20000</v>
      </c>
      <c r="F404" s="25">
        <f>E404*100/D404</f>
        <v>105.26315789473684</v>
      </c>
    </row>
    <row r="405" spans="1:6" ht="12.75">
      <c r="A405" s="23"/>
      <c r="B405" s="51"/>
      <c r="C405" s="20" t="s">
        <v>6</v>
      </c>
      <c r="D405" s="11"/>
      <c r="E405" s="11"/>
      <c r="F405" s="45"/>
    </row>
    <row r="406" spans="1:6" ht="12.75">
      <c r="A406" s="23"/>
      <c r="B406" s="23"/>
      <c r="C406" s="49" t="s">
        <v>7</v>
      </c>
      <c r="D406" s="11">
        <f>SUM(D407:D410)</f>
        <v>19000</v>
      </c>
      <c r="E406" s="11">
        <f>E409+E410</f>
        <v>20000</v>
      </c>
      <c r="F406" s="45">
        <f>E406*100/D406</f>
        <v>105.26315789473684</v>
      </c>
    </row>
    <row r="407" spans="1:6" ht="12.75">
      <c r="A407" s="23"/>
      <c r="B407" s="23"/>
      <c r="C407" s="47" t="s">
        <v>91</v>
      </c>
      <c r="D407" s="11"/>
      <c r="E407" s="11"/>
      <c r="F407" s="45"/>
    </row>
    <row r="408" spans="1:6" ht="12.75">
      <c r="A408" s="23"/>
      <c r="B408" s="23"/>
      <c r="C408" s="48" t="s">
        <v>10</v>
      </c>
      <c r="D408" s="11"/>
      <c r="E408" s="11"/>
      <c r="F408" s="45"/>
    </row>
    <row r="409" spans="1:6" ht="12.75">
      <c r="A409" s="23"/>
      <c r="B409" s="23"/>
      <c r="C409" s="48" t="s">
        <v>8</v>
      </c>
      <c r="D409" s="11">
        <f>19000-D410</f>
        <v>13300</v>
      </c>
      <c r="E409" s="11">
        <v>15000</v>
      </c>
      <c r="F409" s="45">
        <f>E409*100/D409</f>
        <v>112.78195488721805</v>
      </c>
    </row>
    <row r="410" spans="1:6" ht="12.75">
      <c r="A410" s="23"/>
      <c r="B410" s="23"/>
      <c r="C410" s="6" t="s">
        <v>9</v>
      </c>
      <c r="D410" s="11">
        <v>5700</v>
      </c>
      <c r="E410" s="11">
        <v>5000</v>
      </c>
      <c r="F410" s="45">
        <f>E410*100/D410</f>
        <v>87.71929824561404</v>
      </c>
    </row>
    <row r="411" spans="1:7" ht="23.25" customHeight="1">
      <c r="A411" s="89"/>
      <c r="B411" s="68"/>
      <c r="C411" s="3" t="s">
        <v>65</v>
      </c>
      <c r="D411" s="10">
        <f>D7+D15+D30+D38+D46+D54+D83+D119+D127+D156+D171+D180+D265+D280+D309+D324+D374+D403</f>
        <v>32203821.67</v>
      </c>
      <c r="E411" s="10">
        <f>E7+E15+E30+E38+E46+E54+E83+E119+E127+E156+E171+E180+E265+E280+E309+E324+E374+E403</f>
        <v>33699277</v>
      </c>
      <c r="F411" s="25">
        <f aca="true" t="shared" si="9" ref="F411:F417">E411*100/D411</f>
        <v>104.64372006938889</v>
      </c>
      <c r="G411" s="7"/>
    </row>
    <row r="412" spans="1:6" ht="12.75">
      <c r="A412" s="50"/>
      <c r="B412" s="53"/>
      <c r="C412" s="64" t="s">
        <v>6</v>
      </c>
      <c r="D412" s="10">
        <f>D9+D17+D24+D32+D40+D48+D56+D63+D70+D77+D85+D92+D99+D106+D113+D121+D129+D136+D143+D158+D165+D173+D182+D189+D196+D203+D210+D217+D224+D245+D252+D267+D274+D282+D289+D296+D303+D311+D318+D326+D333+D340+D347+D354+D361+D368+D376+D383+D390+D397+D405</f>
        <v>2052968</v>
      </c>
      <c r="E412" s="10">
        <f>E9+E17+E24+E32+E40+E48+E56+E63+E70+E77+E85+E92+E99+E106+E113+E121+E129+E136+E143+E158+E165+E173+E182+E189+E196+E203+E210+E217+E224+E245+E252+E267+E274+E282+E289+E296+E303+E311+E318+E326+E333+E340+E347+E354+E361+E368+E376+E383+E390+E397+E405</f>
        <v>3716000</v>
      </c>
      <c r="F412" s="25">
        <f t="shared" si="9"/>
        <v>181.00623097875857</v>
      </c>
    </row>
    <row r="413" spans="1:7" ht="12.75">
      <c r="A413" s="50"/>
      <c r="B413" s="53"/>
      <c r="C413" s="52" t="s">
        <v>7</v>
      </c>
      <c r="D413" s="10">
        <f>D10+D18+D25+D33+D41+D49+D57+D64+D71+D78+D86+D93+D100+D107+D114+D122+D130+D137+D144+D159+D166+D174+D183+D190+D197+D204+D211+D218+D225+D232+D239+D246+D253+D268+D275+D283+D290+D297+D304+D312+D319+D327+D334+D341+D348+D355+D362+D369+D377+D384+D391+D398+D406</f>
        <v>30150853.67</v>
      </c>
      <c r="E413" s="10">
        <f>E10+E18+E25+E33+E41+E49+E57+E64+E71+E78+E86+E93+E100+E107+E114+E122+E130+E137+E144+E159+E166+E174+E183+E190+E197+E204+E211+E218+E225+E232+E239+E246+E253+E268+E275+E283+E290+E297+E304+E312+E319+E327+E334+E341+E348+E355+E362+E369+E377+E384+E391+E398+E406+E151</f>
        <v>29983277</v>
      </c>
      <c r="F413" s="25">
        <f t="shared" si="9"/>
        <v>99.44420588606172</v>
      </c>
      <c r="G413" s="90"/>
    </row>
    <row r="414" spans="1:7" ht="12.75">
      <c r="A414" s="50"/>
      <c r="B414" s="53"/>
      <c r="C414" s="47" t="s">
        <v>91</v>
      </c>
      <c r="D414" s="10">
        <f>D407+D399+D392+D385+D378+D370+D363+D356+D349+D342+D335+D328+D320+D313+D305+D298+D291+D284+D276+D261+D175+D167+D160+D145+D138+D123+D115+D108+D101+D94+D87+D79+D72+D65+D58+D50+D42+D34+D26+D19+D11</f>
        <v>14944907</v>
      </c>
      <c r="E414" s="10">
        <f>E407+E399+E392+E385+E378+E370+E363+E356+E349+E342+E335+E328+E320+E313+E305+E298+E291+E284+E276+E268+E261+E175+E167+E160+E145+E138+E123+E115+E108+E101+E94+E87+E79+E72+E65+E58+E50+E42+E34+E26+E19+E11</f>
        <v>15134765</v>
      </c>
      <c r="F414" s="25">
        <f t="shared" si="9"/>
        <v>101.27038595823981</v>
      </c>
      <c r="G414" s="7"/>
    </row>
    <row r="415" spans="1:9" ht="12.75">
      <c r="A415" s="50"/>
      <c r="B415" s="53"/>
      <c r="C415" s="47" t="s">
        <v>10</v>
      </c>
      <c r="D415" s="10">
        <f>D12+D20+D27+D35+D43+D51+D59+D66+D73+D80+D88+D95+D102+D109+D116+D124+D139+D146+D161+D168+D176+D185+D192+D199+D206+D213+D220+D227+D234+D241+D248+D255+D277+D285+D292+D299+D306+D314+D321+D329+D336+D343+D350+D357+D364+D371+D379+D386+D393+D400+D408</f>
        <v>2551512.67</v>
      </c>
      <c r="E415" s="10">
        <f>E12+E20+E27+E35+E43+E51+E59+E66+E73+E80+E88+E95+E102+E109+E116+E124+E139+E146+E161+E168+E176+E185+E192+E199+E206+E213+E220+E227+E234+E241+E248+E255+E277+E285+E292+E299+E306+E314+E321+E329+E336+E343+E350+E357+E364+E371+E379+E386+E393+E400+E408</f>
        <v>2460863</v>
      </c>
      <c r="F415" s="25">
        <f t="shared" si="9"/>
        <v>96.44721850430788</v>
      </c>
      <c r="G415" s="7"/>
      <c r="I415" s="7"/>
    </row>
    <row r="416" spans="1:9" ht="12.75">
      <c r="A416" s="50"/>
      <c r="B416" s="53"/>
      <c r="C416" s="6" t="s">
        <v>8</v>
      </c>
      <c r="D416" s="10">
        <f>D409+D401+D394+D387+D380+D372+D365+D358+D351+D344+D337+D330+D322+D315+D307+D300+D293+D286+D278+D263+D177+D169+D162+D147+D140+D125+D117+D110+D103+D96+D89+D81+D74+D67+D60+D52+D44+D36+D28+D21+D13</f>
        <v>10857234</v>
      </c>
      <c r="E416" s="10">
        <f>E409+E401+E394+E387+E380+E372+E365+E358+E351+E344+E337+E330+E322+E315+E307+E300+E293+E286+E278+E263+E177+E169+E162+E154+E147+E140+E125+E117+E110+E103+E96+E89+E81+E74+E67+E60+E52+E44+E36+E28+E21+E13</f>
        <v>9739049</v>
      </c>
      <c r="F416" s="25">
        <f t="shared" si="9"/>
        <v>89.70101408885542</v>
      </c>
      <c r="I416" s="7"/>
    </row>
    <row r="417" spans="1:9" ht="12.75">
      <c r="A417" s="50"/>
      <c r="B417" s="53"/>
      <c r="C417" s="6" t="s">
        <v>9</v>
      </c>
      <c r="D417" s="10">
        <f>D410+D402+D395+D388+D381+D373+D366+D359+D352+D345+D338+D331+D323+D316+D308+D301+D294+D287+D279+D264+D178+D170+D163+D148+D141+D126+D118+D111+D104+D97+D90+D82+D75+D68+D61+D53+D45+D37+D29+D22+D14</f>
        <v>1797200</v>
      </c>
      <c r="E417" s="10">
        <f>E410+E402+E395+E388+E381+E373+E366+E359+E352+E345+E338+E331+E323+E316+E308+E301+E294+E287+E279+E264+E178+E170+E163+E148+E141+E126+E118+E111+E104+E97+E90+E82+E75+E68+E61+E53+E45+E37+E29+E22+E14</f>
        <v>1952600</v>
      </c>
      <c r="F417" s="25">
        <f t="shared" si="9"/>
        <v>108.64678388604496</v>
      </c>
      <c r="H417" s="7"/>
      <c r="I417" s="7"/>
    </row>
    <row r="418" spans="1:8" ht="12.75">
      <c r="A418" s="50"/>
      <c r="B418" s="53"/>
      <c r="C418" s="6" t="s">
        <v>77</v>
      </c>
      <c r="D418" s="22">
        <f>D179</f>
        <v>0</v>
      </c>
      <c r="E418" s="10">
        <f>E172</f>
        <v>696000</v>
      </c>
      <c r="F418" s="87"/>
      <c r="H418" s="7"/>
    </row>
    <row r="419" spans="1:7" ht="12.75">
      <c r="A419" s="50"/>
      <c r="B419" s="53"/>
      <c r="C419" s="6" t="s">
        <v>73</v>
      </c>
      <c r="D419" s="10"/>
      <c r="E419" s="12">
        <f>E164</f>
        <v>891645</v>
      </c>
      <c r="F419" s="25"/>
      <c r="G419" s="7"/>
    </row>
    <row r="420" spans="1:8" ht="12.75">
      <c r="A420" s="20"/>
      <c r="B420" s="60"/>
      <c r="C420" s="6" t="s">
        <v>74</v>
      </c>
      <c r="D420" s="11"/>
      <c r="E420" s="11">
        <f>E157</f>
        <v>669000</v>
      </c>
      <c r="F420" s="45"/>
      <c r="G420" s="7"/>
      <c r="H420" s="7"/>
    </row>
    <row r="421" spans="6:8" ht="12.75">
      <c r="F421" s="91"/>
      <c r="G421" s="7"/>
      <c r="H421" s="7"/>
    </row>
    <row r="422" ht="12.75">
      <c r="F422" s="91"/>
    </row>
    <row r="423" ht="12.75">
      <c r="F423" s="91"/>
    </row>
    <row r="424" ht="12.75">
      <c r="F424" s="91"/>
    </row>
    <row r="425" ht="12.75">
      <c r="F425" s="91"/>
    </row>
    <row r="426" ht="12.75">
      <c r="F426" s="91"/>
    </row>
    <row r="427" ht="12.75">
      <c r="F427" s="91"/>
    </row>
    <row r="428" ht="12.75">
      <c r="F428" s="91"/>
    </row>
    <row r="429" ht="12.75">
      <c r="F429" s="91"/>
    </row>
    <row r="430" ht="12.75">
      <c r="F430" s="91"/>
    </row>
    <row r="431" ht="12.75">
      <c r="F431" s="91"/>
    </row>
    <row r="432" ht="12.75">
      <c r="F432" s="91"/>
    </row>
    <row r="433" ht="12.75">
      <c r="F433" s="91"/>
    </row>
    <row r="434" ht="12.75">
      <c r="F434" s="91"/>
    </row>
    <row r="435" ht="12.75">
      <c r="F435" s="91"/>
    </row>
    <row r="436" ht="12.75">
      <c r="F436" s="91"/>
    </row>
    <row r="437" ht="12.75">
      <c r="F437" s="91"/>
    </row>
    <row r="438" ht="12.75">
      <c r="F438" s="91"/>
    </row>
    <row r="439" ht="12.75">
      <c r="F439" s="91"/>
    </row>
    <row r="440" ht="12.75">
      <c r="F440" s="91"/>
    </row>
    <row r="441" ht="12.75">
      <c r="F441" s="91"/>
    </row>
    <row r="442" ht="12.75">
      <c r="F442" s="91"/>
    </row>
    <row r="443" ht="12.75">
      <c r="F443" s="91"/>
    </row>
    <row r="444" ht="12.75">
      <c r="F444" s="91"/>
    </row>
    <row r="445" ht="12.75">
      <c r="F445" s="91"/>
    </row>
    <row r="446" ht="12.75">
      <c r="F446" s="91"/>
    </row>
    <row r="447" ht="12.75">
      <c r="F447" s="91"/>
    </row>
    <row r="448" ht="12.75">
      <c r="F448" s="91"/>
    </row>
    <row r="449" ht="12.75">
      <c r="F449" s="91"/>
    </row>
    <row r="450" ht="12.75">
      <c r="F450" s="91"/>
    </row>
    <row r="451" ht="12.75">
      <c r="F451" s="91"/>
    </row>
    <row r="452" ht="12.75">
      <c r="F452" s="91"/>
    </row>
    <row r="453" ht="12.75">
      <c r="F453" s="91"/>
    </row>
    <row r="454" ht="12.75">
      <c r="F454" s="91"/>
    </row>
    <row r="455" ht="12.75">
      <c r="F455" s="91"/>
    </row>
    <row r="456" ht="12.75">
      <c r="F456" s="91"/>
    </row>
    <row r="457" ht="12.75">
      <c r="F457" s="91"/>
    </row>
    <row r="458" ht="12.75">
      <c r="F458" s="91"/>
    </row>
    <row r="459" ht="12.75">
      <c r="F459" s="91"/>
    </row>
    <row r="460" ht="12.75">
      <c r="F460" s="91"/>
    </row>
    <row r="461" ht="12.75">
      <c r="F461" s="91"/>
    </row>
    <row r="462" ht="12.75">
      <c r="F462" s="91"/>
    </row>
    <row r="463" ht="12.75">
      <c r="F463" s="91"/>
    </row>
    <row r="464" ht="12.75">
      <c r="F464" s="91"/>
    </row>
    <row r="465" ht="12.75">
      <c r="F465" s="91"/>
    </row>
    <row r="466" ht="12.75">
      <c r="F466" s="91"/>
    </row>
    <row r="467" ht="12.75">
      <c r="F467" s="91"/>
    </row>
    <row r="468" ht="12.75">
      <c r="F468" s="91"/>
    </row>
    <row r="469" ht="12.75">
      <c r="F469" s="91"/>
    </row>
    <row r="470" ht="12.75">
      <c r="F470" s="91"/>
    </row>
    <row r="471" ht="12.75">
      <c r="F471" s="91"/>
    </row>
    <row r="472" ht="12.75">
      <c r="F472" s="91"/>
    </row>
    <row r="473" ht="12.75">
      <c r="F473" s="91"/>
    </row>
    <row r="474" ht="12.75">
      <c r="F474" s="91"/>
    </row>
    <row r="475" ht="12.75">
      <c r="F475" s="91"/>
    </row>
    <row r="476" ht="12.75">
      <c r="F476" s="91"/>
    </row>
    <row r="477" ht="12.75">
      <c r="F477" s="91"/>
    </row>
    <row r="478" ht="12.75">
      <c r="F478" s="91"/>
    </row>
    <row r="479" ht="12.75">
      <c r="F479" s="91"/>
    </row>
    <row r="480" ht="12.75">
      <c r="F480" s="91"/>
    </row>
    <row r="481" ht="12.75">
      <c r="F481" s="91"/>
    </row>
    <row r="482" ht="12.75">
      <c r="F482" s="91"/>
    </row>
    <row r="483" ht="12.75">
      <c r="F483" s="91"/>
    </row>
    <row r="484" ht="12.75">
      <c r="F484" s="91"/>
    </row>
    <row r="485" ht="12.75">
      <c r="F485" s="91"/>
    </row>
    <row r="486" ht="12.75">
      <c r="F486" s="91"/>
    </row>
    <row r="487" ht="12.75">
      <c r="F487" s="91"/>
    </row>
    <row r="488" ht="12.75">
      <c r="F488" s="91"/>
    </row>
    <row r="489" ht="12.75">
      <c r="F489" s="91"/>
    </row>
    <row r="490" ht="12.75">
      <c r="F490" s="91"/>
    </row>
    <row r="491" ht="12.75">
      <c r="F491" s="91"/>
    </row>
    <row r="492" ht="12.75">
      <c r="F492" s="91"/>
    </row>
    <row r="493" ht="12.75">
      <c r="F493" s="91"/>
    </row>
    <row r="494" ht="12.75">
      <c r="F494" s="91"/>
    </row>
    <row r="495" ht="12.75">
      <c r="F495" s="91"/>
    </row>
    <row r="496" ht="12.75">
      <c r="F496" s="91"/>
    </row>
    <row r="497" ht="12.75">
      <c r="F497" s="91"/>
    </row>
    <row r="498" ht="12.75">
      <c r="F498" s="91"/>
    </row>
    <row r="499" ht="12.75">
      <c r="F499" s="91"/>
    </row>
    <row r="500" ht="12.75">
      <c r="F500" s="91"/>
    </row>
    <row r="501" ht="12.75">
      <c r="F501" s="91"/>
    </row>
    <row r="502" ht="12.75">
      <c r="F502" s="91"/>
    </row>
    <row r="503" ht="12.75">
      <c r="F503" s="91"/>
    </row>
    <row r="504" ht="12.75">
      <c r="F504" s="91"/>
    </row>
    <row r="505" ht="12.75">
      <c r="F505" s="91"/>
    </row>
    <row r="506" ht="12.75">
      <c r="F506" s="91"/>
    </row>
    <row r="507" ht="12.75">
      <c r="F507" s="91"/>
    </row>
    <row r="508" ht="12.75">
      <c r="F508" s="91"/>
    </row>
    <row r="509" ht="12.75">
      <c r="F509" s="91"/>
    </row>
    <row r="510" ht="12.75">
      <c r="F510" s="91"/>
    </row>
    <row r="511" ht="12.75">
      <c r="F511" s="91"/>
    </row>
    <row r="512" ht="12.75">
      <c r="F512" s="91"/>
    </row>
    <row r="513" ht="12.75">
      <c r="F513" s="91"/>
    </row>
    <row r="514" ht="12.75">
      <c r="F514" s="91"/>
    </row>
    <row r="515" ht="12.75">
      <c r="F515" s="91"/>
    </row>
    <row r="516" ht="12.75">
      <c r="F516" s="91"/>
    </row>
    <row r="517" ht="12.75">
      <c r="F517" s="91"/>
    </row>
    <row r="518" ht="12.75">
      <c r="F518" s="91"/>
    </row>
    <row r="519" ht="12.75">
      <c r="F519" s="91"/>
    </row>
    <row r="520" ht="12.75">
      <c r="F520" s="91"/>
    </row>
    <row r="521" ht="12.75">
      <c r="F521" s="91"/>
    </row>
  </sheetData>
  <mergeCells count="3">
    <mergeCell ref="E1:F1"/>
    <mergeCell ref="A128:A136"/>
    <mergeCell ref="A157:A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J16" sqref="J16"/>
    </sheetView>
  </sheetViews>
  <sheetFormatPr defaultColWidth="9.00390625" defaultRowHeight="12.75"/>
  <cols>
    <col min="2" max="2" width="37.00390625" style="0" customWidth="1"/>
  </cols>
  <sheetData>
    <row r="1" spans="1:5" ht="12.75">
      <c r="A1" s="24">
        <v>71015</v>
      </c>
      <c r="B1" s="5" t="s">
        <v>23</v>
      </c>
      <c r="C1" s="10">
        <f>C2+C3</f>
        <v>285872</v>
      </c>
      <c r="D1" s="10">
        <f>D2+D3</f>
        <v>271830</v>
      </c>
      <c r="E1" s="25">
        <f aca="true" t="shared" si="0" ref="E1:E6">D1*100/C1</f>
        <v>95.08801141769743</v>
      </c>
    </row>
    <row r="2" spans="1:5" ht="12.75">
      <c r="A2" s="107"/>
      <c r="B2" s="44" t="s">
        <v>6</v>
      </c>
      <c r="C2" s="11"/>
      <c r="D2" s="11"/>
      <c r="E2" s="25"/>
    </row>
    <row r="3" spans="1:5" ht="12.75">
      <c r="A3" s="108"/>
      <c r="B3" s="44" t="s">
        <v>7</v>
      </c>
      <c r="C3" s="11">
        <f>SUM(C4:C7)</f>
        <v>285872</v>
      </c>
      <c r="D3" s="11">
        <f>D4+D5+D6</f>
        <v>271830</v>
      </c>
      <c r="E3" s="45">
        <f t="shared" si="0"/>
        <v>95.08801141769743</v>
      </c>
    </row>
    <row r="4" spans="1:5" ht="12.75">
      <c r="A4" s="108"/>
      <c r="B4" s="47" t="s">
        <v>91</v>
      </c>
      <c r="C4" s="11">
        <f>68481+111710+15140</f>
        <v>195331</v>
      </c>
      <c r="D4" s="11">
        <v>194866</v>
      </c>
      <c r="E4" s="45">
        <f t="shared" si="0"/>
        <v>99.76194254880178</v>
      </c>
    </row>
    <row r="5" spans="1:5" ht="12.75">
      <c r="A5" s="108"/>
      <c r="B5" s="47" t="s">
        <v>92</v>
      </c>
      <c r="C5" s="11">
        <f>34936+4785</f>
        <v>39721</v>
      </c>
      <c r="D5" s="11">
        <v>36069</v>
      </c>
      <c r="E5" s="45">
        <f t="shared" si="0"/>
        <v>90.80587094987538</v>
      </c>
    </row>
    <row r="6" spans="1:5" ht="12.75">
      <c r="A6" s="108"/>
      <c r="B6" s="6" t="s">
        <v>8</v>
      </c>
      <c r="C6" s="11">
        <f>160+9000+300+8520+500+3000+6500+5560+440+4840+2000+2000+4000+4000</f>
        <v>50820</v>
      </c>
      <c r="D6" s="11">
        <v>40895</v>
      </c>
      <c r="E6" s="45">
        <f t="shared" si="0"/>
        <v>80.47028728846911</v>
      </c>
    </row>
    <row r="7" spans="1:5" ht="12.75">
      <c r="A7" s="109"/>
      <c r="B7" s="6" t="s">
        <v>9</v>
      </c>
      <c r="C7" s="11"/>
      <c r="D7" s="11"/>
      <c r="E7" s="45"/>
    </row>
    <row r="8" spans="1:5" ht="12.75">
      <c r="A8" s="5"/>
      <c r="B8" s="2" t="s">
        <v>29</v>
      </c>
      <c r="C8" s="10">
        <v>3000</v>
      </c>
      <c r="D8" s="10">
        <v>3000</v>
      </c>
      <c r="E8" s="25">
        <f>D8*100/C8</f>
        <v>100</v>
      </c>
    </row>
    <row r="9" spans="1:5" ht="12.75">
      <c r="A9" s="5">
        <v>75212</v>
      </c>
      <c r="B9" s="5" t="s">
        <v>30</v>
      </c>
      <c r="C9" s="10">
        <v>3000</v>
      </c>
      <c r="D9" s="10">
        <v>3000</v>
      </c>
      <c r="E9" s="25">
        <f>D9*100/C9</f>
        <v>100</v>
      </c>
    </row>
    <row r="10" spans="1:5" ht="12.75">
      <c r="A10" s="107"/>
      <c r="B10" s="54" t="s">
        <v>6</v>
      </c>
      <c r="C10" s="14"/>
      <c r="D10" s="11"/>
      <c r="E10" s="25"/>
    </row>
    <row r="11" spans="1:5" ht="12.75">
      <c r="A11" s="108"/>
      <c r="B11" s="44" t="s">
        <v>7</v>
      </c>
      <c r="C11" s="11">
        <f>SUM(C12:C15)</f>
        <v>3000</v>
      </c>
      <c r="D11" s="11">
        <v>3000</v>
      </c>
      <c r="E11" s="45">
        <f>D11*100/C11</f>
        <v>100</v>
      </c>
    </row>
    <row r="12" spans="1:5" ht="12.75">
      <c r="A12" s="108"/>
      <c r="B12" s="47" t="s">
        <v>91</v>
      </c>
      <c r="C12" s="11"/>
      <c r="D12" s="11"/>
      <c r="E12" s="45"/>
    </row>
    <row r="13" spans="1:5" ht="12.75">
      <c r="A13" s="108"/>
      <c r="B13" s="47" t="s">
        <v>92</v>
      </c>
      <c r="C13" s="11"/>
      <c r="D13" s="11"/>
      <c r="E13" s="45"/>
    </row>
    <row r="14" spans="1:5" ht="12.75">
      <c r="A14" s="108"/>
      <c r="B14" s="6" t="s">
        <v>8</v>
      </c>
      <c r="C14" s="11">
        <f>1500+1500</f>
        <v>3000</v>
      </c>
      <c r="D14" s="11">
        <v>3000</v>
      </c>
      <c r="E14" s="45">
        <f>D14*100/C14</f>
        <v>100</v>
      </c>
    </row>
    <row r="15" spans="1:5" ht="12.75">
      <c r="A15" s="109"/>
      <c r="B15" s="6" t="s">
        <v>9</v>
      </c>
      <c r="C15" s="11"/>
      <c r="D15" s="11"/>
      <c r="E15" s="45"/>
    </row>
    <row r="16" spans="1:5" ht="37.5" customHeight="1">
      <c r="A16" s="24">
        <v>75411</v>
      </c>
      <c r="B16" s="59" t="s">
        <v>33</v>
      </c>
      <c r="C16" s="10">
        <f>C18+C17</f>
        <v>2832543</v>
      </c>
      <c r="D16" s="10">
        <f>D18+D17</f>
        <v>4103952</v>
      </c>
      <c r="E16" s="25">
        <f>D16*100/C16</f>
        <v>144.88577931561852</v>
      </c>
    </row>
    <row r="17" spans="1:5" ht="12.75">
      <c r="A17" s="107"/>
      <c r="B17" s="44" t="s">
        <v>6</v>
      </c>
      <c r="C17" s="11"/>
      <c r="D17" s="11">
        <v>950000</v>
      </c>
      <c r="E17" s="45"/>
    </row>
    <row r="18" spans="1:5" ht="12.75">
      <c r="A18" s="108"/>
      <c r="B18" s="44" t="s">
        <v>7</v>
      </c>
      <c r="C18" s="11">
        <f>SUM(C19:C22)</f>
        <v>2832543</v>
      </c>
      <c r="D18" s="11">
        <f>D19+D20+D21</f>
        <v>3153952</v>
      </c>
      <c r="E18" s="45">
        <f>D18*100/C18</f>
        <v>111.34701220775818</v>
      </c>
    </row>
    <row r="19" spans="1:5" ht="12.75">
      <c r="A19" s="108"/>
      <c r="B19" s="47" t="s">
        <v>91</v>
      </c>
      <c r="C19" s="11">
        <f>22288+1371+1919628+119993+159905</f>
        <v>2223185</v>
      </c>
      <c r="D19" s="11">
        <v>2592373</v>
      </c>
      <c r="E19" s="45">
        <f>D19*100/C19</f>
        <v>116.60626533554337</v>
      </c>
    </row>
    <row r="20" spans="1:5" ht="12.75">
      <c r="A20" s="108"/>
      <c r="B20" s="47" t="s">
        <v>92</v>
      </c>
      <c r="C20" s="11">
        <f>6581+893</f>
        <v>7474</v>
      </c>
      <c r="D20" s="11">
        <v>7600</v>
      </c>
      <c r="E20" s="45">
        <f>D20*100/C20</f>
        <v>101.68584426010169</v>
      </c>
    </row>
    <row r="21" spans="1:5" ht="12.75">
      <c r="A21" s="108"/>
      <c r="B21" s="6" t="s">
        <v>8</v>
      </c>
      <c r="C21" s="11">
        <f>120000+10000+100000+137177+10000+45000+80000+15000+30000+5000+10500+12000+2000+907+10000+300+4000+10000</f>
        <v>601884</v>
      </c>
      <c r="D21" s="11">
        <v>553979</v>
      </c>
      <c r="E21" s="45">
        <f>D21*100/C21</f>
        <v>92.04082514238624</v>
      </c>
    </row>
    <row r="22" spans="1:5" ht="12.75">
      <c r="A22" s="109"/>
      <c r="B22" s="6" t="s">
        <v>9</v>
      </c>
      <c r="C22" s="11"/>
      <c r="D22" s="11"/>
      <c r="E22" s="45"/>
    </row>
    <row r="23" spans="1:5" ht="12.75">
      <c r="A23" s="97">
        <v>75414</v>
      </c>
      <c r="B23" s="79" t="s">
        <v>97</v>
      </c>
      <c r="C23" s="30">
        <f>C25+C24</f>
        <v>1000</v>
      </c>
      <c r="D23" s="30">
        <f>D25</f>
        <v>7700</v>
      </c>
      <c r="E23" s="45">
        <f>D23*100/C23</f>
        <v>770</v>
      </c>
    </row>
    <row r="24" spans="1:5" ht="12.75">
      <c r="A24" s="107"/>
      <c r="B24" s="44" t="s">
        <v>6</v>
      </c>
      <c r="C24" s="11"/>
      <c r="D24" s="11"/>
      <c r="E24" s="45"/>
    </row>
    <row r="25" spans="1:5" ht="12.75">
      <c r="A25" s="108"/>
      <c r="B25" s="44" t="s">
        <v>7</v>
      </c>
      <c r="C25" s="11">
        <f>C26+C27+C28+C29</f>
        <v>1000</v>
      </c>
      <c r="D25" s="11">
        <v>7700</v>
      </c>
      <c r="E25" s="45">
        <f>D25*100/C25</f>
        <v>770</v>
      </c>
    </row>
    <row r="26" spans="1:5" ht="12.75">
      <c r="A26" s="108"/>
      <c r="B26" s="47" t="s">
        <v>91</v>
      </c>
      <c r="C26" s="11"/>
      <c r="D26" s="11"/>
      <c r="E26" s="45"/>
    </row>
    <row r="27" spans="1:5" ht="12.75">
      <c r="A27" s="108"/>
      <c r="B27" s="47" t="s">
        <v>92</v>
      </c>
      <c r="C27" s="11"/>
      <c r="D27" s="11"/>
      <c r="E27" s="45"/>
    </row>
    <row r="28" spans="1:5" ht="12.75">
      <c r="A28" s="108"/>
      <c r="B28" s="6" t="s">
        <v>8</v>
      </c>
      <c r="C28" s="11">
        <f>1000</f>
        <v>1000</v>
      </c>
      <c r="D28" s="11">
        <v>7700</v>
      </c>
      <c r="E28" s="45">
        <f>D28*100/C28</f>
        <v>770</v>
      </c>
    </row>
    <row r="29" spans="1:5" ht="12.75">
      <c r="A29" s="109"/>
      <c r="B29" s="6" t="s">
        <v>9</v>
      </c>
      <c r="C29" s="11"/>
      <c r="D29" s="11"/>
      <c r="E29" s="45"/>
    </row>
  </sheetData>
  <mergeCells count="4">
    <mergeCell ref="A2:A7"/>
    <mergeCell ref="A10:A15"/>
    <mergeCell ref="A17:A22"/>
    <mergeCell ref="A24:A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Wasylik</dc:creator>
  <cp:keywords/>
  <dc:description/>
  <cp:lastModifiedBy>m.wesolowska</cp:lastModifiedBy>
  <cp:lastPrinted>2009-01-21T09:10:43Z</cp:lastPrinted>
  <dcterms:created xsi:type="dcterms:W3CDTF">2003-12-08T15:50:14Z</dcterms:created>
  <dcterms:modified xsi:type="dcterms:W3CDTF">2009-02-03T08:44:45Z</dcterms:modified>
  <cp:category/>
  <cp:version/>
  <cp:contentType/>
  <cp:contentStatus/>
</cp:coreProperties>
</file>